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65476" windowWidth="27720" windowHeight="16120" activeTab="0"/>
  </bookViews>
  <sheets>
    <sheet name="Armeebogen" sheetId="1" r:id="rId1"/>
  </sheets>
  <definedNames>
    <definedName name="Matrixladertypen">'Armeebogen'!$B$21:$E$39</definedName>
    <definedName name="Ruestung">'Armeebogen'!$Y$132:$Z$135</definedName>
    <definedName name="Ruestung2">'Armeebogen'!$Y$132:$Z$135</definedName>
    <definedName name="Ruestung3">'Armeebogen'!$Y$132:$Z$135</definedName>
    <definedName name="RuestungKaval">'Armeebogen'!$AA$132:$AB$135</definedName>
    <definedName name="RuestungKavallerie">'Armeebogen'!$AA$132:$AB$134</definedName>
    <definedName name="RuestungKavallerie2">'Armeebogen'!$AA$132:$AB$135</definedName>
    <definedName name="RW">'Armeebogen'!$Y$139:$Z$143</definedName>
    <definedName name="RWKaval">'Armeebogen'!$AA$139:$AB$144</definedName>
    <definedName name="RWKavallerie">'Armeebogen'!$AA$139:$AB$143</definedName>
  </definedNames>
  <calcPr fullCalcOnLoad="1"/>
</workbook>
</file>

<file path=xl/sharedStrings.xml><?xml version="1.0" encoding="utf-8"?>
<sst xmlns="http://schemas.openxmlformats.org/spreadsheetml/2006/main" count="566" uniqueCount="186">
  <si>
    <t>Hobgoblin Wolfsreiter</t>
  </si>
  <si>
    <r>
      <t>Giftattacken</t>
    </r>
    <r>
      <rPr>
        <sz val="10"/>
        <rFont val="Arial"/>
        <family val="0"/>
      </rPr>
      <t>(bei TW=6 direkt Wunde),</t>
    </r>
    <r>
      <rPr>
        <b/>
        <sz val="11"/>
        <rFont val="Arial"/>
        <family val="0"/>
      </rPr>
      <t xml:space="preserve"> Stänkerei</t>
    </r>
  </si>
  <si>
    <t>Sch = Schild:  - / 1</t>
  </si>
  <si>
    <t>Waldläufer</t>
  </si>
  <si>
    <t>Standartenrunen</t>
  </si>
  <si>
    <t>Mu = Musiker:  - / 1 / 2 / 3</t>
  </si>
  <si>
    <t>ja nach Anzahl Regimenter</t>
  </si>
  <si>
    <t>[5] = Stärke der Treffer durch Artillerie</t>
  </si>
  <si>
    <t>Stänkerei, Angst vor Elfen</t>
  </si>
  <si>
    <t>Speer</t>
  </si>
  <si>
    <t>Goblins Kurzbogen</t>
  </si>
  <si>
    <t>W3 Schaden, kein RW</t>
  </si>
  <si>
    <t>aber Fehlfunktionstabelle Kanonen;</t>
  </si>
  <si>
    <t>W</t>
  </si>
  <si>
    <t>Warhammer Armeeliste</t>
  </si>
  <si>
    <t>Anz.</t>
  </si>
  <si>
    <t>bei Angriffen gegen beide (Magier o. Lammas)</t>
  </si>
  <si>
    <t>Kanonen;  bei Fehlfunktion und Treffer =  4W6</t>
  </si>
  <si>
    <t>bei Fehlfunktion und Pfeil = Fehlfunktionstabel.</t>
  </si>
  <si>
    <r>
      <t xml:space="preserve">Kurzbogen </t>
    </r>
    <r>
      <rPr>
        <sz val="10"/>
        <rFont val="Arial"/>
        <family val="0"/>
      </rPr>
      <t>(Reichweite = 16 Zoll, S = 3)</t>
    </r>
  </si>
  <si>
    <t>Reich = Reichweite in Zoll</t>
  </si>
  <si>
    <t>Waffenrunen</t>
  </si>
  <si>
    <t>Energiewürfel:</t>
  </si>
  <si>
    <t>Anzahl Besatzung Kriegsmaschinen</t>
  </si>
  <si>
    <t>3+</t>
  </si>
  <si>
    <t>1+</t>
  </si>
  <si>
    <t>Armeestandarte</t>
  </si>
  <si>
    <t>Rüstung</t>
  </si>
  <si>
    <t>L</t>
  </si>
  <si>
    <t>Stänkerei, Goblin-Panik ignorieren</t>
  </si>
  <si>
    <t>Abweichung in Pfeilrichtung, 3 Zoll Schablone</t>
  </si>
  <si>
    <t>Tremor-Kanone</t>
  </si>
  <si>
    <t>12 - 48</t>
  </si>
  <si>
    <t>Chaoszwerge</t>
  </si>
  <si>
    <t>Goblinboss</t>
  </si>
  <si>
    <t>Hobgoblinboss</t>
  </si>
  <si>
    <t>Veteran</t>
  </si>
  <si>
    <t>Standartenrunen Orks</t>
  </si>
  <si>
    <t>Spalta, Grünhaut-Panik ignorieren</t>
  </si>
  <si>
    <t>MG = Punktezahl verwendeter Magie</t>
  </si>
  <si>
    <t>MG</t>
  </si>
  <si>
    <t>Stierzentauren Tyrann</t>
  </si>
  <si>
    <t>Artillerie Elite</t>
  </si>
  <si>
    <t>-</t>
  </si>
  <si>
    <t>Kriegsmaschinen dürf. nur bei 4+ feuern (W6)</t>
  </si>
  <si>
    <t>Seltene Einheit</t>
  </si>
  <si>
    <t>sonstige Runen</t>
  </si>
  <si>
    <t>Summe:</t>
  </si>
  <si>
    <t>Chaoszwergen Despot</t>
  </si>
  <si>
    <t>Chaoszwergen Zauberer</t>
  </si>
  <si>
    <t>Stierzentauren Despot</t>
  </si>
  <si>
    <t>großes Ziel, verursacht Entsetzen, Flieger</t>
  </si>
  <si>
    <t>immun gegen Feuerattacken, hat Flammen-</t>
  </si>
  <si>
    <t>Schlacht: Neue Elfensklaven für die Minen</t>
  </si>
  <si>
    <t>Bei TW=1 trifft Schlag Freund(Reittier) direktem Kontakt</t>
  </si>
  <si>
    <r>
      <t xml:space="preserve">Sklavenbanner: </t>
    </r>
    <r>
      <rPr>
        <sz val="10"/>
        <rFont val="Arial"/>
        <family val="0"/>
      </rPr>
      <t>Grünhäute ≤ 12 Zoll Psy.-Test wiedh.</t>
    </r>
  </si>
  <si>
    <r>
      <t xml:space="preserve">Schwarzes Juwel des Gnarr: </t>
    </r>
    <r>
      <rPr>
        <sz val="10"/>
        <rFont val="Arial"/>
        <family val="0"/>
      </rPr>
      <t xml:space="preserve">Beginn Nahkampf: </t>
    </r>
  </si>
  <si>
    <r>
      <t xml:space="preserve">Bogen </t>
    </r>
    <r>
      <rPr>
        <sz val="10"/>
        <rFont val="Arial"/>
        <family val="0"/>
      </rPr>
      <t>(Reichweite = 24 Zoll, S = 3)</t>
    </r>
    <r>
      <rPr>
        <b/>
        <sz val="11"/>
        <rFont val="Arial"/>
        <family val="0"/>
      </rPr>
      <t>, Salvenfeuer</t>
    </r>
  </si>
  <si>
    <t>Stänkerei, Angst vor Elfen, Salvenfeuer</t>
  </si>
  <si>
    <t>Kavallerie</t>
  </si>
  <si>
    <t>im Nahkampf  RW = -1 bei Zweihandwaffe und Schild</t>
  </si>
  <si>
    <t>[3(9)]</t>
  </si>
  <si>
    <t>KG</t>
  </si>
  <si>
    <t>BF</t>
  </si>
  <si>
    <t>LP</t>
  </si>
  <si>
    <t>I</t>
  </si>
  <si>
    <t>A</t>
  </si>
  <si>
    <t>MW</t>
  </si>
  <si>
    <t>RW</t>
  </si>
  <si>
    <t>H = Handwaffe:   - / 1 / 2</t>
  </si>
  <si>
    <t>ZW= Zweihandwaffe:  - / 1</t>
  </si>
  <si>
    <t>Piratenslayer</t>
  </si>
  <si>
    <t>Orkkrieger</t>
  </si>
  <si>
    <t>Goblins</t>
  </si>
  <si>
    <t>Schwarzorks</t>
  </si>
  <si>
    <t>Fiese Gitze</t>
  </si>
  <si>
    <t>Raketenwerfer</t>
  </si>
  <si>
    <t>2+</t>
  </si>
  <si>
    <t>6+</t>
  </si>
  <si>
    <t>Rüstung Kavallerie</t>
  </si>
  <si>
    <t>Orkkrieger Bogen</t>
  </si>
  <si>
    <t>Orkboss Bogen</t>
  </si>
  <si>
    <t>Stänkerei, Goblin-Panik ignorieren, Bogen</t>
  </si>
  <si>
    <r>
      <t xml:space="preserve">Bogen: </t>
    </r>
    <r>
      <rPr>
        <sz val="10"/>
        <rFont val="Arial"/>
        <family val="0"/>
      </rPr>
      <t>(Reichweite = 24 Zoll, S = 3)</t>
    </r>
  </si>
  <si>
    <r>
      <t xml:space="preserve">alle Chaos-Zwerge sind </t>
    </r>
    <r>
      <rPr>
        <b/>
        <u val="single"/>
        <sz val="9"/>
        <rFont val="Arial"/>
        <family val="0"/>
      </rPr>
      <t>Starrsining</t>
    </r>
    <r>
      <rPr>
        <b/>
        <sz val="9"/>
        <rFont val="Arial"/>
        <family val="0"/>
      </rPr>
      <t xml:space="preserve"> (Fliehen und Verfolgen mit 2W6-1)</t>
    </r>
  </si>
  <si>
    <t>Sonstige</t>
  </si>
  <si>
    <t>Anzahl Speerschleudern</t>
  </si>
  <si>
    <t>Besatzung Speerschleudern</t>
  </si>
  <si>
    <t>Ret = Rettungswurf</t>
  </si>
  <si>
    <t>Riesenslayer</t>
  </si>
  <si>
    <t>Hobgoblin-Speerschl.</t>
  </si>
  <si>
    <t>Lehren des Feuers, des Metalls, des Todes</t>
  </si>
  <si>
    <t>des Schattens</t>
  </si>
  <si>
    <t>SF</t>
  </si>
  <si>
    <t>Mit Schmiedefeuer-Rüstung: immun gegen</t>
  </si>
  <si>
    <t xml:space="preserve"> Feuerattacken und -zauber, auch Reittier</t>
  </si>
  <si>
    <t xml:space="preserve">Punktzahl: </t>
  </si>
  <si>
    <t>Bannwürfel:</t>
  </si>
  <si>
    <t>Standartenrunen Imperium</t>
  </si>
  <si>
    <t>Seltene Einheit Artillerie</t>
  </si>
  <si>
    <t>Reich</t>
  </si>
  <si>
    <t>B</t>
  </si>
  <si>
    <t>Chaoszwergen Tyrann</t>
  </si>
  <si>
    <t>RW Kavallerie</t>
  </si>
  <si>
    <t>Hobgoblin-Boss</t>
  </si>
  <si>
    <r>
      <t xml:space="preserve">Hellebarde: </t>
    </r>
    <r>
      <rPr>
        <sz val="10"/>
        <rFont val="Arial"/>
        <family val="0"/>
      </rPr>
      <t>2 Hände, S = +1</t>
    </r>
  </si>
  <si>
    <t>Kommandant</t>
  </si>
  <si>
    <t>Ab hier keine Zeilen mehr löschen!!!</t>
  </si>
  <si>
    <t>RH</t>
  </si>
  <si>
    <t>Roßharnisch</t>
  </si>
  <si>
    <t>Rü = Rüstung:   - / L / S / SF</t>
  </si>
  <si>
    <t>Slayerfertigkeiten Drachenslayer</t>
  </si>
  <si>
    <t>Slayerfertigkeiten Dämonenslayer</t>
  </si>
  <si>
    <t>Hobgoblins</t>
  </si>
  <si>
    <r>
      <t xml:space="preserve">Speer Tiefgestafelter Kampf </t>
    </r>
    <r>
      <rPr>
        <sz val="10"/>
        <rFont val="Arial"/>
        <family val="0"/>
      </rPr>
      <t>+1 Glied Unterstütz.att.</t>
    </r>
  </si>
  <si>
    <t>Chaos-Zwerge (Kriegerische Horden und Warhammer 8. Edition)</t>
  </si>
  <si>
    <t>Schwarzorkboss</t>
  </si>
  <si>
    <t>Orkboss</t>
  </si>
  <si>
    <t>Wie Steinschleuder; 3 Zoll Schablone</t>
  </si>
  <si>
    <t>2W6 um Aufschlagpunkt: nächster Runde</t>
  </si>
  <si>
    <t xml:space="preserve">keine Fernwaffen, nur halbe Bewegung, </t>
  </si>
  <si>
    <t>Volk: Zharr-Dawi</t>
  </si>
  <si>
    <t>Anzahl Goblins</t>
  </si>
  <si>
    <t>Zweihandwaffe, Schild</t>
  </si>
  <si>
    <t>Modell innerhalb wird bei 4+ getroffen</t>
  </si>
  <si>
    <r>
      <t xml:space="preserve">Schwa. Hammer d. Hashut: </t>
    </r>
    <r>
      <rPr>
        <sz val="10"/>
        <rFont val="Arial"/>
        <family val="0"/>
      </rPr>
      <t>S +2, brennbare Ziele tot</t>
    </r>
  </si>
  <si>
    <r>
      <t>Obsidianklinge:</t>
    </r>
    <r>
      <rPr>
        <sz val="10"/>
        <rFont val="Arial"/>
        <family val="0"/>
      </rPr>
      <t xml:space="preserve"> kein RW; Rüst. u. Schild Geg. zerstört</t>
    </r>
  </si>
  <si>
    <t>alle Modelle Kontakt W3 Schaden, kein RW</t>
  </si>
  <si>
    <r>
      <t xml:space="preserve">Finsterer Streitkolben des Todes: </t>
    </r>
    <r>
      <rPr>
        <sz val="10"/>
        <rFont val="Arial"/>
        <family val="0"/>
      </rPr>
      <t xml:space="preserve">1x pro Spiel: </t>
    </r>
  </si>
  <si>
    <r>
      <t>Gazrakhs Rüstung:</t>
    </r>
    <r>
      <rPr>
        <sz val="10"/>
        <rFont val="Arial"/>
        <family val="0"/>
      </rPr>
      <t xml:space="preserve"> RW = 1+</t>
    </r>
  </si>
  <si>
    <r>
      <t xml:space="preserve">Schmiedefeuerrüstung: </t>
    </r>
    <r>
      <rPr>
        <sz val="10"/>
        <rFont val="Arial"/>
        <family val="0"/>
      </rPr>
      <t>RW 4+, Ret 5+, imm. Feuer</t>
    </r>
  </si>
  <si>
    <r>
      <t>Obsidiantalisman</t>
    </r>
    <r>
      <rPr>
        <sz val="10"/>
        <rFont val="Arial"/>
        <family val="0"/>
      </rPr>
      <t xml:space="preserve">: keine Zauberei aktiv und Ziel, </t>
    </r>
  </si>
  <si>
    <t>Zauberer im direkten Kontakt dürfen nicht zaubern</t>
  </si>
  <si>
    <r>
      <t xml:space="preserve">Handschuhe Bazrakks d. Grausamen: </t>
    </r>
    <r>
      <rPr>
        <sz val="10"/>
        <rFont val="Arial"/>
        <family val="0"/>
      </rPr>
      <t>S +1</t>
    </r>
  </si>
  <si>
    <t>Eingabefelder</t>
  </si>
  <si>
    <t>Mu</t>
  </si>
  <si>
    <t>St</t>
  </si>
  <si>
    <t>Hellebarde</t>
  </si>
  <si>
    <t>Handwaffe</t>
  </si>
  <si>
    <r>
      <t xml:space="preserve">Donnerbüchse </t>
    </r>
    <r>
      <rPr>
        <sz val="10"/>
        <rFont val="Arial"/>
        <family val="0"/>
      </rPr>
      <t>(+1 S für jedes Glied mit min. 4 Mann)</t>
    </r>
  </si>
  <si>
    <t>Wölfe</t>
  </si>
  <si>
    <t>Hobg. Wolfsreiter Bog.</t>
  </si>
  <si>
    <t>Chaos. Donnerbüchse</t>
  </si>
  <si>
    <t>Stänkerei</t>
  </si>
  <si>
    <t>Leichte Kavallerie</t>
  </si>
  <si>
    <t>Kavallerie RW</t>
  </si>
  <si>
    <t>Stierzentauren</t>
  </si>
  <si>
    <t>können immer umzingeln,ab. nie umzingelt werden</t>
  </si>
  <si>
    <t>Zwischespalte für RW</t>
  </si>
  <si>
    <t>EXTRAS</t>
  </si>
  <si>
    <t>Held</t>
  </si>
  <si>
    <t>Eliteeinheiten</t>
  </si>
  <si>
    <t>Kerneinheiten</t>
  </si>
  <si>
    <t>Punkte</t>
  </si>
  <si>
    <t>Besatzung:</t>
  </si>
  <si>
    <t>S</t>
  </si>
  <si>
    <t>Hobgoblins mit Bogen</t>
  </si>
  <si>
    <t>St = Standarte:  - / 1 / 2 / 3</t>
  </si>
  <si>
    <t>Anzahl Helden, Kriegsmaschinen und Regimenter</t>
  </si>
  <si>
    <t>Anzahl Krieger</t>
  </si>
  <si>
    <t>Rettungs- und Rüstungswürfe</t>
  </si>
  <si>
    <t>attacke mit Stärke 3</t>
  </si>
  <si>
    <t>Meisterzauberer</t>
  </si>
  <si>
    <t>Magier-Stufe</t>
  </si>
  <si>
    <t>Magierstufe</t>
  </si>
  <si>
    <t>Lammasus</t>
  </si>
  <si>
    <t>verleiht dem Meistermagier +2 Bannwürfel</t>
  </si>
  <si>
    <t>Rückendolcher</t>
  </si>
  <si>
    <t>Bronzestier</t>
  </si>
  <si>
    <t>Träger + 1 Kontakt-Modell dürfen nicht kämpfen</t>
  </si>
  <si>
    <r>
      <t xml:space="preserve">Kelch der Finsternis: </t>
    </r>
    <r>
      <rPr>
        <sz val="10"/>
        <rFont val="Arial"/>
        <family val="0"/>
      </rPr>
      <t>Beginn Magie W3: Würfel weg</t>
    </r>
  </si>
  <si>
    <t>Trefferwurf mit BF, Stärke 6-1(-1 je Glied)</t>
  </si>
  <si>
    <t>4+</t>
  </si>
  <si>
    <t>5+</t>
  </si>
  <si>
    <t>H</t>
  </si>
  <si>
    <t>ZW</t>
  </si>
  <si>
    <t>Rü</t>
  </si>
  <si>
    <t>Ret</t>
  </si>
  <si>
    <t>Sch</t>
  </si>
  <si>
    <r>
      <t xml:space="preserve">Bogen </t>
    </r>
    <r>
      <rPr>
        <sz val="10"/>
        <rFont val="Arial"/>
        <family val="0"/>
      </rPr>
      <t>(Reichweite = 24 Zoll, S = 3)</t>
    </r>
    <r>
      <rPr>
        <b/>
        <sz val="11"/>
        <rFont val="Arial"/>
        <family val="0"/>
      </rPr>
      <t>, Stänkerei</t>
    </r>
  </si>
  <si>
    <t>Anzahl Reiter</t>
  </si>
  <si>
    <r>
      <t xml:space="preserve">Donnerbüchse: </t>
    </r>
    <r>
      <rPr>
        <sz val="10"/>
        <rFont val="Arial"/>
        <family val="0"/>
      </rPr>
      <t>RW 12 Zoll x Breite, jedes</t>
    </r>
  </si>
  <si>
    <r>
      <t xml:space="preserve">Bewegen </t>
    </r>
    <r>
      <rPr>
        <u val="single"/>
        <sz val="10"/>
        <rFont val="Arial"/>
        <family val="0"/>
      </rPr>
      <t>und</t>
    </r>
    <r>
      <rPr>
        <sz val="10"/>
        <rFont val="Arial"/>
        <family val="0"/>
      </rPr>
      <t xml:space="preserve"> Schießen, maximal S = 5</t>
    </r>
  </si>
  <si>
    <t>RW = Rüstungswurf bei Beschuß:</t>
  </si>
  <si>
    <t>Riesentaurus</t>
  </si>
  <si>
    <t>Wolf</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</si>
</sst>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0_);\(\$#,##0\)"/>
    <numFmt numFmtId="181" formatCode="\$#,##0_);[Red]\(\$#,##0\)"/>
    <numFmt numFmtId="182" formatCode="\$#,##0.00_);\(\$#,##0.00\)"/>
    <numFmt numFmtId="183" formatCode="\$#,##0.00_);[Red]\(\$#,##0.00\)"/>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25">
    <font>
      <sz val="10"/>
      <name val="Arial"/>
      <family val="0"/>
    </font>
    <font>
      <sz val="6"/>
      <name val="Arial"/>
      <family val="2"/>
    </font>
    <font>
      <b/>
      <sz val="10"/>
      <name val="Arial"/>
      <family val="2"/>
    </font>
    <font>
      <sz val="6"/>
      <name val="Helv"/>
      <family val="0"/>
    </font>
    <font>
      <sz val="8"/>
      <name val="Arial"/>
      <family val="0"/>
    </font>
    <font>
      <u val="single"/>
      <sz val="12.5"/>
      <color indexed="12"/>
      <name val="Arial"/>
      <family val="0"/>
    </font>
    <font>
      <u val="single"/>
      <sz val="12.5"/>
      <color indexed="61"/>
      <name val="Arial"/>
      <family val="0"/>
    </font>
    <font>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2"/>
      <color indexed="12"/>
      <name val="Arial"/>
      <family val="0"/>
    </font>
    <font>
      <sz val="36"/>
      <name val="DS-Normal-Fraktur"/>
      <family val="0"/>
    </font>
    <font>
      <sz val="14"/>
      <name val="DS-Normal-Fraktur"/>
      <family val="0"/>
    </font>
    <font>
      <b/>
      <sz val="14"/>
      <name val="Arial"/>
      <family val="0"/>
    </font>
    <font>
      <sz val="14"/>
      <name val="Arial"/>
      <family val="0"/>
    </font>
    <font>
      <b/>
      <sz val="9"/>
      <name val="Arial"/>
      <family val="0"/>
    </font>
    <font>
      <b/>
      <u val="single"/>
      <sz val="9"/>
      <name val="Arial"/>
      <family val="0"/>
    </font>
    <font>
      <b/>
      <sz val="11"/>
      <color indexed="12"/>
      <name val="Arial"/>
      <family val="0"/>
    </font>
    <font>
      <sz val="12"/>
      <color indexed="9"/>
      <name val="Arial"/>
      <family val="0"/>
    </font>
    <font>
      <u val="single"/>
      <sz val="10"/>
      <name val="Arial"/>
      <family val="0"/>
    </font>
    <font>
      <sz val="12"/>
      <color indexed="8"/>
      <name val="Arial"/>
      <family val="0"/>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mediumGray">
        <bgColor indexed="22"/>
      </patternFill>
    </fill>
    <fill>
      <patternFill patternType="mediumGray">
        <fgColor indexed="8"/>
      </patternFill>
    </fill>
    <fill>
      <patternFill patternType="mediumGray"/>
    </fill>
    <fill>
      <patternFill patternType="solid">
        <fgColor indexed="65"/>
        <bgColor indexed="64"/>
      </patternFill>
    </fill>
  </fills>
  <borders count="27">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143">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0" xfId="0"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0" fillId="0" borderId="0" xfId="0" applyAlignment="1">
      <alignment horizont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11" fillId="0" borderId="1" xfId="0" applyFont="1" applyBorder="1" applyAlignment="1">
      <alignment horizontal="right" vertical="center"/>
    </xf>
    <xf numFmtId="0" fontId="0" fillId="0" borderId="1" xfId="0" applyBorder="1" applyAlignment="1">
      <alignment vertical="center"/>
    </xf>
    <xf numFmtId="0" fontId="17" fillId="0" borderId="1" xfId="0" applyFont="1" applyBorder="1" applyAlignment="1">
      <alignment horizontal="center" vertical="center"/>
    </xf>
    <xf numFmtId="0" fontId="18"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0" fillId="0" borderId="0" xfId="0" applyAlignment="1">
      <alignment horizontal="righ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0" xfId="0" applyFont="1" applyBorder="1" applyAlignment="1">
      <alignment horizontal="right" vertical="center"/>
    </xf>
    <xf numFmtId="0" fontId="17" fillId="0" borderId="0" xfId="0" applyFont="1" applyBorder="1" applyAlignment="1">
      <alignment horizontal="center" vertical="center"/>
    </xf>
    <xf numFmtId="0" fontId="11" fillId="0" borderId="1" xfId="0" applyFont="1" applyBorder="1" applyAlignment="1">
      <alignment horizontal="center" vertical="center"/>
    </xf>
    <xf numFmtId="0" fontId="9" fillId="0" borderId="0" xfId="0" applyFont="1" applyAlignment="1">
      <alignment horizontal="left"/>
    </xf>
    <xf numFmtId="0" fontId="9" fillId="0" borderId="0" xfId="0" applyFont="1" applyAlignment="1">
      <alignment horizontal="left" vertical="center"/>
    </xf>
    <xf numFmtId="0" fontId="2" fillId="2" borderId="0" xfId="0" applyFont="1" applyFill="1" applyAlignment="1">
      <alignment horizontal="center" vertical="center"/>
    </xf>
    <xf numFmtId="0" fontId="11" fillId="0" borderId="0" xfId="0" applyFont="1" applyAlignment="1">
      <alignment horizontal="left" vertical="center"/>
    </xf>
    <xf numFmtId="0" fontId="11" fillId="0" borderId="1" xfId="0" applyFont="1" applyBorder="1" applyAlignment="1" applyProtection="1">
      <alignment horizontal="left" vertical="center"/>
      <protection locked="0"/>
    </xf>
    <xf numFmtId="0" fontId="12" fillId="0" borderId="1" xfId="0" applyFont="1" applyBorder="1" applyAlignment="1" applyProtection="1">
      <alignment vertical="center"/>
      <protection locked="0"/>
    </xf>
    <xf numFmtId="0" fontId="2" fillId="3" borderId="2" xfId="0" applyFont="1" applyFill="1" applyBorder="1" applyAlignment="1" applyProtection="1">
      <alignment vertical="center"/>
      <protection locked="0"/>
    </xf>
    <xf numFmtId="0" fontId="8"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protection locked="0"/>
    </xf>
    <xf numFmtId="0" fontId="11" fillId="0" borderId="11" xfId="0" applyNumberFormat="1" applyFont="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9" fillId="0" borderId="12" xfId="0" applyFont="1" applyBorder="1" applyAlignment="1" applyProtection="1">
      <alignment vertical="center"/>
      <protection locked="0"/>
    </xf>
    <xf numFmtId="0" fontId="0" fillId="0" borderId="0" xfId="0" applyAlignment="1" applyProtection="1">
      <alignment/>
      <protection locked="0"/>
    </xf>
    <xf numFmtId="0" fontId="11" fillId="0" borderId="11" xfId="0" applyFont="1" applyBorder="1" applyAlignment="1" applyProtection="1">
      <alignment horizontal="center" vertical="center"/>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11" xfId="0" applyBorder="1" applyAlignment="1" applyProtection="1">
      <alignment/>
      <protection locked="0"/>
    </xf>
    <xf numFmtId="0" fontId="10" fillId="0" borderId="12" xfId="0" applyFont="1" applyBorder="1" applyAlignment="1" applyProtection="1">
      <alignment vertical="center"/>
      <protection locked="0"/>
    </xf>
    <xf numFmtId="0" fontId="12" fillId="0" borderId="7" xfId="0" applyFont="1" applyBorder="1" applyAlignment="1" applyProtection="1">
      <alignment horizontal="center" vertical="center"/>
      <protection locked="0"/>
    </xf>
    <xf numFmtId="0" fontId="11" fillId="0" borderId="7" xfId="0" applyFont="1" applyBorder="1" applyAlignment="1" applyProtection="1">
      <alignment vertical="center"/>
      <protection locked="0"/>
    </xf>
    <xf numFmtId="0" fontId="11" fillId="0" borderId="13" xfId="0" applyFont="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9" fillId="0" borderId="9" xfId="0" applyFont="1" applyBorder="1" applyAlignment="1" applyProtection="1">
      <alignment vertical="center"/>
      <protection locked="0"/>
    </xf>
    <xf numFmtId="0" fontId="7" fillId="0" borderId="0" xfId="0" applyFont="1" applyAlignment="1" applyProtection="1">
      <alignment horizontal="left" vertical="center"/>
      <protection locked="0"/>
    </xf>
    <xf numFmtId="0" fontId="0" fillId="5" borderId="14" xfId="0"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0" fillId="0" borderId="9"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2" fillId="3" borderId="15" xfId="0" applyFont="1" applyFill="1" applyBorder="1" applyAlignment="1" applyProtection="1">
      <alignment vertical="center"/>
      <protection locked="0"/>
    </xf>
    <xf numFmtId="0" fontId="8"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0" fillId="0" borderId="6" xfId="0" applyFont="1" applyBorder="1" applyAlignment="1" applyProtection="1">
      <alignment vertical="center"/>
      <protection locked="0"/>
    </xf>
    <xf numFmtId="0" fontId="11" fillId="2" borderId="10" xfId="0" applyFont="1" applyFill="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1" fillId="0" borderId="18"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0" fillId="0" borderId="0" xfId="0" applyFill="1" applyAlignment="1" applyProtection="1">
      <alignment horizontal="center" vertical="center"/>
      <protection locked="0"/>
    </xf>
    <xf numFmtId="0" fontId="7" fillId="0" borderId="6" xfId="0" applyFont="1" applyBorder="1" applyAlignment="1" applyProtection="1">
      <alignment vertical="center"/>
      <protection locked="0"/>
    </xf>
    <xf numFmtId="0" fontId="14" fillId="0" borderId="7" xfId="0" applyFont="1" applyFill="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7" fillId="6" borderId="9" xfId="0" applyFont="1" applyFill="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0" fillId="0" borderId="6" xfId="0" applyFont="1" applyFill="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3" borderId="15" xfId="0" applyFont="1" applyFill="1" applyBorder="1" applyAlignment="1" applyProtection="1">
      <alignment vertical="center" wrapText="1"/>
      <protection locked="0"/>
    </xf>
    <xf numFmtId="0" fontId="0" fillId="0" borderId="19" xfId="0" applyFont="1" applyBorder="1" applyAlignment="1" applyProtection="1">
      <alignment vertical="center"/>
      <protection locked="0"/>
    </xf>
    <xf numFmtId="0" fontId="11" fillId="0" borderId="20" xfId="0" applyFont="1" applyFill="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49" fontId="9" fillId="0" borderId="25"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0" fillId="7"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9"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0" fontId="19" fillId="0" borderId="0" xfId="0" applyFont="1" applyBorder="1" applyAlignment="1">
      <alignment horizontal="center" vertical="center"/>
    </xf>
    <xf numFmtId="0" fontId="22" fillId="0" borderId="0" xfId="0" applyFont="1" applyBorder="1" applyAlignment="1">
      <alignment vertical="center"/>
    </xf>
    <xf numFmtId="0" fontId="2" fillId="0" borderId="0" xfId="0" applyFont="1" applyFill="1" applyBorder="1" applyAlignment="1">
      <alignment horizontal="center" vertical="center" wrapText="1"/>
    </xf>
    <xf numFmtId="0" fontId="11" fillId="0" borderId="2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7" fillId="0" borderId="1" xfId="0" applyFont="1" applyBorder="1" applyAlignment="1" applyProtection="1">
      <alignment horizontal="right" vertical="center"/>
      <protection locked="0"/>
    </xf>
    <xf numFmtId="0" fontId="11" fillId="0" borderId="1" xfId="0" applyFont="1" applyBorder="1" applyAlignment="1" applyProtection="1">
      <alignment horizontal="right"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142875</xdr:rowOff>
    </xdr:from>
    <xdr:to>
      <xdr:col>18</xdr:col>
      <xdr:colOff>9525</xdr:colOff>
      <xdr:row>6</xdr:row>
      <xdr:rowOff>9525</xdr:rowOff>
    </xdr:to>
    <xdr:pic>
      <xdr:nvPicPr>
        <xdr:cNvPr id="1" name="Picture 1"/>
        <xdr:cNvPicPr preferRelativeResize="1">
          <a:picLocks noChangeAspect="1"/>
        </xdr:cNvPicPr>
      </xdr:nvPicPr>
      <xdr:blipFill>
        <a:blip r:embed="rId1"/>
        <a:stretch>
          <a:fillRect/>
        </a:stretch>
      </xdr:blipFill>
      <xdr:spPr>
        <a:xfrm>
          <a:off x="3648075" y="1362075"/>
          <a:ext cx="1085850" cy="609600"/>
        </a:xfrm>
        <a:prstGeom prst="rect">
          <a:avLst/>
        </a:prstGeom>
        <a:noFill/>
        <a:ln w="9525" cmpd="sng">
          <a:noFill/>
        </a:ln>
      </xdr:spPr>
    </xdr:pic>
    <xdr:clientData/>
  </xdr:twoCellAnchor>
  <xdr:oneCellAnchor>
    <xdr:from>
      <xdr:col>23</xdr:col>
      <xdr:colOff>742950</xdr:colOff>
      <xdr:row>3</xdr:row>
      <xdr:rowOff>28575</xdr:rowOff>
    </xdr:from>
    <xdr:ext cx="1590675" cy="238125"/>
    <xdr:sp>
      <xdr:nvSpPr>
        <xdr:cNvPr id="2" name="TextBox 21"/>
        <xdr:cNvSpPr txBox="1">
          <a:spLocks noChangeArrowheads="1"/>
        </xdr:cNvSpPr>
      </xdr:nvSpPr>
      <xdr:spPr>
        <a:xfrm>
          <a:off x="6505575" y="1247775"/>
          <a:ext cx="1590675"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Höchster W6 + mögliche</a:t>
          </a:r>
        </a:p>
      </xdr:txBody>
    </xdr:sp>
    <xdr:clientData/>
  </xdr:oneCellAnchor>
  <xdr:oneCellAnchor>
    <xdr:from>
      <xdr:col>2</xdr:col>
      <xdr:colOff>0</xdr:colOff>
      <xdr:row>7</xdr:row>
      <xdr:rowOff>47625</xdr:rowOff>
    </xdr:from>
    <xdr:ext cx="1076325" cy="228600"/>
    <xdr:sp>
      <xdr:nvSpPr>
        <xdr:cNvPr id="3" name="TextBox 22"/>
        <xdr:cNvSpPr txBox="1">
          <a:spLocks noChangeArrowheads="1"/>
        </xdr:cNvSpPr>
      </xdr:nvSpPr>
      <xdr:spPr>
        <a:xfrm>
          <a:off x="1409700" y="2095500"/>
          <a:ext cx="1076325" cy="22860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2 W6 + mögliche</a:t>
          </a:r>
        </a:p>
      </xdr:txBody>
    </xdr:sp>
    <xdr:clientData/>
  </xdr:oneCellAnchor>
  <xdr:twoCellAnchor>
    <xdr:from>
      <xdr:col>24</xdr:col>
      <xdr:colOff>304800</xdr:colOff>
      <xdr:row>1</xdr:row>
      <xdr:rowOff>66675</xdr:rowOff>
    </xdr:from>
    <xdr:to>
      <xdr:col>29</xdr:col>
      <xdr:colOff>1276350</xdr:colOff>
      <xdr:row>7</xdr:row>
      <xdr:rowOff>114300</xdr:rowOff>
    </xdr:to>
    <xdr:sp>
      <xdr:nvSpPr>
        <xdr:cNvPr id="4" name="TextBox 24"/>
        <xdr:cNvSpPr txBox="1">
          <a:spLocks noChangeArrowheads="1"/>
        </xdr:cNvSpPr>
      </xdr:nvSpPr>
      <xdr:spPr>
        <a:xfrm>
          <a:off x="9058275" y="133350"/>
          <a:ext cx="4895850" cy="202882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2012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I276"/>
  <sheetViews>
    <sheetView tabSelected="1" zoomScale="125" zoomScaleNormal="125" workbookViewId="0" topLeftCell="A1">
      <selection activeCell="A2" sqref="A2:X2"/>
    </sheetView>
  </sheetViews>
  <sheetFormatPr defaultColWidth="11.42187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10.28125" style="2" hidden="1" customWidth="1"/>
    <col min="21" max="21" width="3.7109375" style="2" customWidth="1"/>
    <col min="22" max="23" width="4.28125" style="2" customWidth="1"/>
    <col min="24" max="24" width="44.8515625" style="2" customWidth="1"/>
    <col min="25"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16384" width="10.8515625" style="2" customWidth="1"/>
  </cols>
  <sheetData>
    <row r="1" ht="5.25" customHeight="1"/>
    <row r="2" spans="1:24" ht="50.25" customHeight="1">
      <c r="A2" s="127" t="s">
        <v>14</v>
      </c>
      <c r="B2" s="128"/>
      <c r="C2" s="128"/>
      <c r="D2" s="128"/>
      <c r="E2" s="128"/>
      <c r="F2" s="128"/>
      <c r="G2" s="128"/>
      <c r="H2" s="128"/>
      <c r="I2" s="128"/>
      <c r="J2" s="128"/>
      <c r="K2" s="128"/>
      <c r="L2" s="128"/>
      <c r="M2" s="128"/>
      <c r="N2" s="128"/>
      <c r="O2" s="128"/>
      <c r="P2" s="128"/>
      <c r="Q2" s="128"/>
      <c r="R2" s="128"/>
      <c r="S2" s="128"/>
      <c r="T2" s="128"/>
      <c r="U2" s="128"/>
      <c r="V2" s="128"/>
      <c r="W2" s="128"/>
      <c r="X2" s="128"/>
    </row>
    <row r="3" spans="1:24" ht="40.5" customHeight="1">
      <c r="A3" s="129" t="s">
        <v>115</v>
      </c>
      <c r="B3" s="128"/>
      <c r="C3" s="128"/>
      <c r="D3" s="128"/>
      <c r="E3" s="128"/>
      <c r="F3" s="128"/>
      <c r="G3" s="128"/>
      <c r="H3" s="128"/>
      <c r="I3" s="128"/>
      <c r="J3" s="128"/>
      <c r="K3" s="128"/>
      <c r="L3" s="128"/>
      <c r="M3" s="128"/>
      <c r="N3" s="128"/>
      <c r="O3" s="128"/>
      <c r="P3" s="128"/>
      <c r="Q3" s="128"/>
      <c r="R3" s="128"/>
      <c r="S3" s="128"/>
      <c r="T3" s="128"/>
      <c r="U3" s="128"/>
      <c r="V3" s="128"/>
      <c r="W3" s="128"/>
      <c r="X3" s="128"/>
    </row>
    <row r="4" spans="1:24" ht="25.5" customHeight="1">
      <c r="A4" s="34" t="s">
        <v>53</v>
      </c>
      <c r="B4" s="35"/>
      <c r="C4" s="35"/>
      <c r="D4" s="35"/>
      <c r="E4" s="35"/>
      <c r="F4" s="35"/>
      <c r="G4" s="35"/>
      <c r="H4" s="35"/>
      <c r="I4" s="35"/>
      <c r="J4" s="35"/>
      <c r="K4" s="35"/>
      <c r="L4" s="35"/>
      <c r="M4" s="35"/>
      <c r="N4" s="9"/>
      <c r="O4" s="9"/>
      <c r="P4" s="9"/>
      <c r="R4" s="9"/>
      <c r="S4" s="14"/>
      <c r="T4" s="8"/>
      <c r="U4" s="8"/>
      <c r="V4" s="10"/>
      <c r="W4" s="18" t="s">
        <v>97</v>
      </c>
      <c r="X4" s="141">
        <f>0+IF(B17="-",0,B17)+IF(B49="-",0,B49)</f>
        <v>0</v>
      </c>
    </row>
    <row r="5" spans="1:24" ht="7.5" customHeight="1">
      <c r="A5" s="11"/>
      <c r="B5" s="11"/>
      <c r="C5" s="11"/>
      <c r="D5" s="11"/>
      <c r="E5" s="11"/>
      <c r="F5" s="11"/>
      <c r="G5" s="11"/>
      <c r="H5" s="11"/>
      <c r="I5" s="11"/>
      <c r="J5" s="11"/>
      <c r="K5" s="11"/>
      <c r="L5" s="11"/>
      <c r="M5" s="11"/>
      <c r="N5" s="11"/>
      <c r="O5" s="11"/>
      <c r="P5" s="11"/>
      <c r="Q5" s="12"/>
      <c r="R5" s="11"/>
      <c r="S5" s="15"/>
      <c r="T5" s="11"/>
      <c r="U5" s="11"/>
      <c r="V5" s="11"/>
      <c r="W5" s="11"/>
      <c r="X5" s="21"/>
    </row>
    <row r="6" spans="1:24" ht="25.5" customHeight="1">
      <c r="A6" s="7" t="s">
        <v>121</v>
      </c>
      <c r="B6" s="8"/>
      <c r="C6" s="8"/>
      <c r="D6" s="8"/>
      <c r="E6" s="8"/>
      <c r="F6" s="8"/>
      <c r="G6" s="8"/>
      <c r="H6" s="8"/>
      <c r="I6" s="8"/>
      <c r="J6" s="8"/>
      <c r="K6" s="8"/>
      <c r="L6" s="8"/>
      <c r="M6" s="8"/>
      <c r="N6" s="9"/>
      <c r="O6" s="9"/>
      <c r="P6" s="9"/>
      <c r="R6" s="9"/>
      <c r="S6" s="14"/>
      <c r="T6" s="8"/>
      <c r="U6" s="8"/>
      <c r="V6" s="19"/>
      <c r="W6" s="18" t="s">
        <v>96</v>
      </c>
      <c r="X6" s="20">
        <f>V121</f>
        <v>0</v>
      </c>
    </row>
    <row r="7" spans="1:24" ht="6.75" customHeight="1">
      <c r="A7" s="25"/>
      <c r="B7" s="9"/>
      <c r="C7" s="9"/>
      <c r="D7" s="9"/>
      <c r="E7" s="9"/>
      <c r="F7" s="9"/>
      <c r="G7" s="9"/>
      <c r="H7" s="9"/>
      <c r="I7" s="9"/>
      <c r="J7" s="9"/>
      <c r="K7" s="9"/>
      <c r="L7" s="9"/>
      <c r="M7" s="9"/>
      <c r="N7" s="9"/>
      <c r="O7" s="9"/>
      <c r="P7" s="9"/>
      <c r="R7" s="9"/>
      <c r="S7" s="26"/>
      <c r="T7" s="9"/>
      <c r="U7" s="9"/>
      <c r="V7" s="4"/>
      <c r="W7" s="27"/>
      <c r="X7" s="28"/>
    </row>
    <row r="8" spans="1:24" ht="25.5" customHeight="1">
      <c r="A8" s="7" t="s">
        <v>22</v>
      </c>
      <c r="B8" s="8"/>
      <c r="C8" s="29"/>
      <c r="D8" s="142">
        <f>IF(O8=FALSE,0,0)+IF(B17="-",0,IF(B18=3,B17,B17))+IF(B49="-",0,IF(B50=1,B49,B49))</f>
        <v>0</v>
      </c>
      <c r="E8" s="142"/>
      <c r="F8" s="142"/>
      <c r="G8" s="142"/>
      <c r="H8" s="142"/>
      <c r="I8" s="8"/>
      <c r="J8" s="8"/>
      <c r="K8" s="8"/>
      <c r="L8" s="8"/>
      <c r="M8" s="8"/>
      <c r="N8" s="9"/>
      <c r="O8" s="137" t="b">
        <f>AND(B17="-",B49="-")</f>
        <v>1</v>
      </c>
      <c r="P8" s="137"/>
      <c r="Q8" s="137"/>
      <c r="R8" s="9"/>
      <c r="S8" s="30"/>
      <c r="T8" s="9"/>
      <c r="U8" s="9"/>
      <c r="V8" s="4"/>
      <c r="W8" s="27"/>
      <c r="X8" s="28"/>
    </row>
    <row r="9" spans="1:24" ht="27.75" customHeight="1" thickBot="1">
      <c r="A9" s="136" t="s">
        <v>84</v>
      </c>
      <c r="B9" s="136"/>
      <c r="C9" s="136"/>
      <c r="D9" s="136"/>
      <c r="E9" s="136"/>
      <c r="F9" s="136"/>
      <c r="G9" s="136"/>
      <c r="H9" s="136"/>
      <c r="I9" s="136"/>
      <c r="J9" s="136"/>
      <c r="K9" s="136"/>
      <c r="L9" s="136"/>
      <c r="M9" s="136"/>
      <c r="N9" s="136"/>
      <c r="O9" s="136"/>
      <c r="P9" s="136"/>
      <c r="Q9" s="136"/>
      <c r="R9" s="136"/>
      <c r="S9" s="136"/>
      <c r="T9" s="136"/>
      <c r="U9" s="136"/>
      <c r="V9" s="136"/>
      <c r="W9" s="136"/>
      <c r="X9" s="136"/>
    </row>
    <row r="10" spans="1:24" s="45" customFormat="1" ht="25.5" customHeight="1">
      <c r="A10" s="36" t="s">
        <v>106</v>
      </c>
      <c r="B10" s="37" t="s">
        <v>15</v>
      </c>
      <c r="C10" s="38" t="s">
        <v>101</v>
      </c>
      <c r="D10" s="38" t="s">
        <v>62</v>
      </c>
      <c r="E10" s="38" t="s">
        <v>63</v>
      </c>
      <c r="F10" s="38" t="s">
        <v>155</v>
      </c>
      <c r="G10" s="38" t="s">
        <v>13</v>
      </c>
      <c r="H10" s="38" t="s">
        <v>64</v>
      </c>
      <c r="I10" s="38" t="s">
        <v>65</v>
      </c>
      <c r="J10" s="38" t="s">
        <v>66</v>
      </c>
      <c r="K10" s="38" t="s">
        <v>67</v>
      </c>
      <c r="L10" s="39"/>
      <c r="M10" s="38" t="s">
        <v>135</v>
      </c>
      <c r="N10" s="38" t="s">
        <v>136</v>
      </c>
      <c r="O10" s="38" t="s">
        <v>174</v>
      </c>
      <c r="P10" s="38" t="s">
        <v>175</v>
      </c>
      <c r="Q10" s="38" t="s">
        <v>176</v>
      </c>
      <c r="R10" s="38" t="s">
        <v>178</v>
      </c>
      <c r="S10" s="40" t="s">
        <v>68</v>
      </c>
      <c r="T10" s="41" t="s">
        <v>148</v>
      </c>
      <c r="U10" s="42" t="s">
        <v>177</v>
      </c>
      <c r="V10" s="43" t="s">
        <v>40</v>
      </c>
      <c r="W10" s="44" t="s">
        <v>153</v>
      </c>
      <c r="X10" s="42" t="s">
        <v>149</v>
      </c>
    </row>
    <row r="11" spans="1:35" s="45" customFormat="1" ht="15.75" customHeight="1">
      <c r="A11" s="46" t="s">
        <v>102</v>
      </c>
      <c r="B11" s="47" t="s">
        <v>43</v>
      </c>
      <c r="C11" s="48">
        <v>3</v>
      </c>
      <c r="D11" s="48">
        <v>7</v>
      </c>
      <c r="E11" s="48">
        <v>4</v>
      </c>
      <c r="F11" s="48">
        <v>4</v>
      </c>
      <c r="G11" s="48">
        <v>5</v>
      </c>
      <c r="H11" s="48">
        <v>3</v>
      </c>
      <c r="I11" s="48">
        <v>4</v>
      </c>
      <c r="J11" s="48">
        <v>4</v>
      </c>
      <c r="K11" s="49">
        <v>10</v>
      </c>
      <c r="L11" s="50"/>
      <c r="M11" s="51"/>
      <c r="N11" s="48"/>
      <c r="O11" s="47">
        <v>1</v>
      </c>
      <c r="P11" s="47" t="s">
        <v>43</v>
      </c>
      <c r="Q11" s="47" t="s">
        <v>43</v>
      </c>
      <c r="R11" s="52">
        <v>1</v>
      </c>
      <c r="S11" s="53" t="str">
        <f>VLOOKUP(T11,RW,$Z$137,FALSE)</f>
        <v>6+</v>
      </c>
      <c r="T11" s="54">
        <f aca="true" t="shared" si="0" ref="T11:T23">VLOOKUP(Q11,Ruestung,$Z$130,FALSE)+IF(R11=1,1,0)</f>
        <v>1</v>
      </c>
      <c r="U11" s="55" t="str">
        <f>IF(Q11="SF","5+","-")</f>
        <v>-</v>
      </c>
      <c r="V11" s="56" t="s">
        <v>43</v>
      </c>
      <c r="W11" s="57">
        <f>IF(B11="-",0,B11)*(120+IF(P11=1,6,0)+IF(O11=2,6,0)+IF(Q11="S",6,IF(Q11="L",3,IF(Q11="SF",45,0)))+IF(R11=1,3,0)+IF(V11="-",0,V11))</f>
        <v>0</v>
      </c>
      <c r="X11" s="58" t="s">
        <v>94</v>
      </c>
      <c r="Y11" s="59"/>
      <c r="Z11" s="59"/>
      <c r="AA11" s="59"/>
      <c r="AB11" s="59"/>
      <c r="AC11" s="59"/>
      <c r="AD11" s="59"/>
      <c r="AE11" s="59"/>
      <c r="AF11" s="59"/>
      <c r="AG11" s="59"/>
      <c r="AH11" s="59"/>
      <c r="AI11" s="59"/>
    </row>
    <row r="12" spans="1:35" s="45" customFormat="1" ht="15.75" customHeight="1">
      <c r="A12" s="46"/>
      <c r="B12" s="48"/>
      <c r="C12" s="48"/>
      <c r="D12" s="48"/>
      <c r="E12" s="48"/>
      <c r="F12" s="48"/>
      <c r="G12" s="48"/>
      <c r="H12" s="48"/>
      <c r="I12" s="48"/>
      <c r="J12" s="48"/>
      <c r="K12" s="49"/>
      <c r="L12" s="50"/>
      <c r="M12" s="51"/>
      <c r="N12" s="48"/>
      <c r="O12" s="48"/>
      <c r="P12" s="48"/>
      <c r="Q12" s="48"/>
      <c r="R12" s="49"/>
      <c r="S12" s="53"/>
      <c r="T12" s="54" t="e">
        <f t="shared" si="0"/>
        <v>#N/A</v>
      </c>
      <c r="U12" s="60"/>
      <c r="V12" s="57"/>
      <c r="W12" s="57"/>
      <c r="X12" s="58" t="s">
        <v>95</v>
      </c>
      <c r="Y12" s="59"/>
      <c r="Z12" s="59"/>
      <c r="AA12" s="59"/>
      <c r="AB12" s="59"/>
      <c r="AC12" s="59"/>
      <c r="AD12" s="59"/>
      <c r="AE12" s="59"/>
      <c r="AF12" s="59"/>
      <c r="AG12" s="59"/>
      <c r="AH12" s="59"/>
      <c r="AI12" s="59"/>
    </row>
    <row r="13" spans="1:24" s="45" customFormat="1" ht="15.75" customHeight="1">
      <c r="A13" s="46" t="s">
        <v>184</v>
      </c>
      <c r="B13" s="47" t="s">
        <v>43</v>
      </c>
      <c r="C13" s="48">
        <v>6</v>
      </c>
      <c r="D13" s="48">
        <v>5</v>
      </c>
      <c r="E13" s="48">
        <v>0</v>
      </c>
      <c r="F13" s="48">
        <v>6</v>
      </c>
      <c r="G13" s="48">
        <v>5</v>
      </c>
      <c r="H13" s="48">
        <v>4</v>
      </c>
      <c r="I13" s="48">
        <v>3</v>
      </c>
      <c r="J13" s="48">
        <v>4</v>
      </c>
      <c r="K13" s="49">
        <v>6</v>
      </c>
      <c r="L13" s="50"/>
      <c r="M13" s="51"/>
      <c r="N13" s="48"/>
      <c r="O13" s="48"/>
      <c r="P13" s="48"/>
      <c r="Q13" s="48"/>
      <c r="R13" s="49"/>
      <c r="S13" s="53" t="s">
        <v>172</v>
      </c>
      <c r="T13" s="54" t="e">
        <f t="shared" si="0"/>
        <v>#N/A</v>
      </c>
      <c r="U13" s="60"/>
      <c r="V13" s="57"/>
      <c r="W13" s="57">
        <f>IF(B13="-",0,B13)*(230)</f>
        <v>0</v>
      </c>
      <c r="X13" s="58" t="s">
        <v>51</v>
      </c>
    </row>
    <row r="14" spans="1:24" s="45" customFormat="1" ht="15.75" customHeight="1">
      <c r="A14" s="61"/>
      <c r="B14" s="62"/>
      <c r="C14" s="62"/>
      <c r="D14" s="62"/>
      <c r="E14" s="62"/>
      <c r="F14" s="62"/>
      <c r="G14" s="62"/>
      <c r="H14" s="62"/>
      <c r="I14" s="62"/>
      <c r="J14" s="62"/>
      <c r="K14" s="63"/>
      <c r="L14" s="50"/>
      <c r="M14" s="51"/>
      <c r="N14" s="48"/>
      <c r="O14" s="48"/>
      <c r="P14" s="48"/>
      <c r="Q14" s="48"/>
      <c r="R14" s="49"/>
      <c r="S14" s="53"/>
      <c r="T14" s="54" t="e">
        <f t="shared" si="0"/>
        <v>#N/A</v>
      </c>
      <c r="U14" s="60"/>
      <c r="V14" s="57"/>
      <c r="W14" s="57"/>
      <c r="X14" s="58" t="s">
        <v>52</v>
      </c>
    </row>
    <row r="15" spans="1:24" s="45" customFormat="1" ht="15.75" customHeight="1">
      <c r="A15" s="46"/>
      <c r="B15" s="48"/>
      <c r="C15" s="48"/>
      <c r="D15" s="48"/>
      <c r="E15" s="48"/>
      <c r="F15" s="48"/>
      <c r="G15" s="48"/>
      <c r="H15" s="48"/>
      <c r="I15" s="48"/>
      <c r="J15" s="48"/>
      <c r="K15" s="49"/>
      <c r="L15" s="50"/>
      <c r="M15" s="51"/>
      <c r="N15" s="48"/>
      <c r="O15" s="48"/>
      <c r="P15" s="48"/>
      <c r="Q15" s="48"/>
      <c r="R15" s="49"/>
      <c r="S15" s="53"/>
      <c r="T15" s="54" t="e">
        <f t="shared" si="0"/>
        <v>#N/A</v>
      </c>
      <c r="U15" s="60"/>
      <c r="V15" s="57"/>
      <c r="W15" s="57"/>
      <c r="X15" s="58" t="s">
        <v>161</v>
      </c>
    </row>
    <row r="16" spans="1:24" s="45" customFormat="1" ht="15.75" customHeight="1">
      <c r="A16" s="46"/>
      <c r="B16" s="48"/>
      <c r="C16" s="48"/>
      <c r="D16" s="48"/>
      <c r="E16" s="48"/>
      <c r="F16" s="48"/>
      <c r="G16" s="48"/>
      <c r="H16" s="48"/>
      <c r="I16" s="48"/>
      <c r="J16" s="48"/>
      <c r="K16" s="49"/>
      <c r="L16" s="50"/>
      <c r="M16" s="51"/>
      <c r="N16" s="48"/>
      <c r="O16" s="48"/>
      <c r="P16" s="48"/>
      <c r="Q16" s="48"/>
      <c r="R16" s="49"/>
      <c r="S16" s="53"/>
      <c r="T16" s="54" t="e">
        <f t="shared" si="0"/>
        <v>#N/A</v>
      </c>
      <c r="U16" s="60"/>
      <c r="V16" s="57"/>
      <c r="W16" s="57"/>
      <c r="X16" s="64"/>
    </row>
    <row r="17" spans="1:24" s="45" customFormat="1" ht="15.75" customHeight="1">
      <c r="A17" s="46" t="s">
        <v>162</v>
      </c>
      <c r="B17" s="47" t="s">
        <v>43</v>
      </c>
      <c r="C17" s="48">
        <v>3</v>
      </c>
      <c r="D17" s="48">
        <v>4</v>
      </c>
      <c r="E17" s="48">
        <v>3</v>
      </c>
      <c r="F17" s="48">
        <v>4</v>
      </c>
      <c r="G17" s="48">
        <v>5</v>
      </c>
      <c r="H17" s="48">
        <v>3</v>
      </c>
      <c r="I17" s="48">
        <v>2</v>
      </c>
      <c r="J17" s="48">
        <v>1</v>
      </c>
      <c r="K17" s="49">
        <v>10</v>
      </c>
      <c r="L17" s="50"/>
      <c r="M17" s="51"/>
      <c r="N17" s="48"/>
      <c r="O17" s="48">
        <v>1</v>
      </c>
      <c r="P17" s="65" t="s">
        <v>43</v>
      </c>
      <c r="Q17" s="65" t="s">
        <v>43</v>
      </c>
      <c r="R17" s="65" t="s">
        <v>43</v>
      </c>
      <c r="S17" s="53" t="str">
        <f>VLOOKUP(T17,RW,$Z$137,FALSE)</f>
        <v>-</v>
      </c>
      <c r="T17" s="54">
        <f t="shared" si="0"/>
        <v>0</v>
      </c>
      <c r="U17" s="60"/>
      <c r="V17" s="56" t="s">
        <v>43</v>
      </c>
      <c r="W17" s="57">
        <f>IF(B17="-",0,B17)*(190+IF(B18=4,35,0)+IF(V17="-",0,V17))</f>
        <v>0</v>
      </c>
      <c r="X17" s="58" t="s">
        <v>91</v>
      </c>
    </row>
    <row r="18" spans="1:24" s="45" customFormat="1" ht="15.75" customHeight="1">
      <c r="A18" s="46" t="s">
        <v>163</v>
      </c>
      <c r="B18" s="47">
        <v>3</v>
      </c>
      <c r="C18" s="48"/>
      <c r="D18" s="48"/>
      <c r="E18" s="48"/>
      <c r="F18" s="48"/>
      <c r="G18" s="48"/>
      <c r="H18" s="48"/>
      <c r="I18" s="48"/>
      <c r="J18" s="48"/>
      <c r="K18" s="49"/>
      <c r="L18" s="50"/>
      <c r="M18" s="51"/>
      <c r="N18" s="48"/>
      <c r="O18" s="48"/>
      <c r="P18" s="66"/>
      <c r="Q18" s="48"/>
      <c r="R18" s="49"/>
      <c r="S18" s="67"/>
      <c r="T18" s="54" t="e">
        <f t="shared" si="0"/>
        <v>#N/A</v>
      </c>
      <c r="U18" s="60"/>
      <c r="V18" s="57"/>
      <c r="W18" s="57"/>
      <c r="X18" s="58" t="s">
        <v>92</v>
      </c>
    </row>
    <row r="19" spans="1:24" s="45" customFormat="1" ht="15.75" customHeight="1">
      <c r="A19" s="46"/>
      <c r="B19" s="68"/>
      <c r="C19" s="48"/>
      <c r="D19" s="48"/>
      <c r="E19" s="48"/>
      <c r="F19" s="48"/>
      <c r="G19" s="48"/>
      <c r="H19" s="48"/>
      <c r="I19" s="48"/>
      <c r="J19" s="48"/>
      <c r="K19" s="49"/>
      <c r="L19" s="50"/>
      <c r="M19" s="51"/>
      <c r="N19" s="48"/>
      <c r="O19" s="48"/>
      <c r="P19" s="66"/>
      <c r="Q19" s="48"/>
      <c r="R19" s="49"/>
      <c r="S19" s="67"/>
      <c r="T19" s="54" t="e">
        <f t="shared" si="0"/>
        <v>#N/A</v>
      </c>
      <c r="U19" s="60"/>
      <c r="V19" s="57"/>
      <c r="W19" s="57"/>
      <c r="X19" s="58"/>
    </row>
    <row r="20" spans="1:24" s="45" customFormat="1" ht="15.75" customHeight="1">
      <c r="A20" s="46" t="s">
        <v>165</v>
      </c>
      <c r="B20" s="47" t="s">
        <v>43</v>
      </c>
      <c r="C20" s="48">
        <v>6</v>
      </c>
      <c r="D20" s="48">
        <v>3</v>
      </c>
      <c r="E20" s="48">
        <v>0</v>
      </c>
      <c r="F20" s="48">
        <v>5</v>
      </c>
      <c r="G20" s="48">
        <v>5</v>
      </c>
      <c r="H20" s="48">
        <v>4</v>
      </c>
      <c r="I20" s="48">
        <v>2</v>
      </c>
      <c r="J20" s="48">
        <v>2</v>
      </c>
      <c r="K20" s="49">
        <v>8</v>
      </c>
      <c r="L20" s="50"/>
      <c r="M20" s="51"/>
      <c r="N20" s="48"/>
      <c r="O20" s="48"/>
      <c r="P20" s="48"/>
      <c r="Q20" s="48"/>
      <c r="R20" s="49"/>
      <c r="S20" s="53"/>
      <c r="T20" s="54" t="e">
        <f t="shared" si="0"/>
        <v>#N/A</v>
      </c>
      <c r="U20" s="60"/>
      <c r="V20" s="57"/>
      <c r="W20" s="57">
        <f>IF(B20="-",0,B20)*(200)</f>
        <v>0</v>
      </c>
      <c r="X20" s="58" t="s">
        <v>51</v>
      </c>
    </row>
    <row r="21" spans="1:24" s="45" customFormat="1" ht="15.75" customHeight="1">
      <c r="A21" s="46"/>
      <c r="B21" s="68"/>
      <c r="C21" s="48"/>
      <c r="D21" s="48"/>
      <c r="E21" s="48"/>
      <c r="F21" s="48"/>
      <c r="G21" s="48"/>
      <c r="H21" s="48"/>
      <c r="I21" s="48"/>
      <c r="J21" s="48"/>
      <c r="K21" s="49"/>
      <c r="L21" s="50"/>
      <c r="M21" s="51"/>
      <c r="N21" s="48"/>
      <c r="O21" s="48"/>
      <c r="P21" s="65"/>
      <c r="Q21" s="48"/>
      <c r="R21" s="49"/>
      <c r="S21" s="53"/>
      <c r="T21" s="54" t="e">
        <f t="shared" si="0"/>
        <v>#N/A</v>
      </c>
      <c r="U21" s="60"/>
      <c r="V21" s="57"/>
      <c r="W21" s="57"/>
      <c r="X21" s="58" t="s">
        <v>166</v>
      </c>
    </row>
    <row r="22" spans="1:24" s="45" customFormat="1" ht="15.75" customHeight="1">
      <c r="A22" s="46"/>
      <c r="B22" s="68"/>
      <c r="C22" s="48"/>
      <c r="D22" s="48"/>
      <c r="E22" s="48"/>
      <c r="F22" s="48"/>
      <c r="G22" s="48"/>
      <c r="H22" s="48"/>
      <c r="I22" s="48"/>
      <c r="J22" s="48"/>
      <c r="K22" s="49"/>
      <c r="L22" s="50"/>
      <c r="M22" s="51"/>
      <c r="N22" s="48"/>
      <c r="O22" s="48"/>
      <c r="P22" s="65"/>
      <c r="Q22" s="48"/>
      <c r="R22" s="49"/>
      <c r="S22" s="53"/>
      <c r="T22" s="54" t="e">
        <f t="shared" si="0"/>
        <v>#N/A</v>
      </c>
      <c r="U22" s="60"/>
      <c r="V22" s="57"/>
      <c r="W22" s="57"/>
      <c r="X22" s="58" t="s">
        <v>16</v>
      </c>
    </row>
    <row r="23" spans="1:24" s="45" customFormat="1" ht="15.75" customHeight="1">
      <c r="A23" s="46"/>
      <c r="B23" s="48"/>
      <c r="C23" s="48"/>
      <c r="D23" s="48"/>
      <c r="E23" s="48"/>
      <c r="F23" s="48"/>
      <c r="G23" s="48"/>
      <c r="H23" s="48"/>
      <c r="I23" s="48"/>
      <c r="J23" s="48"/>
      <c r="K23" s="49"/>
      <c r="L23" s="50"/>
      <c r="M23" s="51"/>
      <c r="N23" s="48"/>
      <c r="O23" s="48"/>
      <c r="P23" s="48"/>
      <c r="Q23" s="48"/>
      <c r="R23" s="49"/>
      <c r="S23" s="53"/>
      <c r="T23" s="54" t="e">
        <f t="shared" si="0"/>
        <v>#N/A</v>
      </c>
      <c r="U23" s="60"/>
      <c r="V23" s="57"/>
      <c r="W23" s="57"/>
      <c r="X23" s="58"/>
    </row>
    <row r="24" spans="1:31" s="45" customFormat="1" ht="15.75" customHeight="1">
      <c r="A24" s="46" t="s">
        <v>41</v>
      </c>
      <c r="B24" s="47" t="s">
        <v>43</v>
      </c>
      <c r="C24" s="48">
        <v>8</v>
      </c>
      <c r="D24" s="48">
        <v>6</v>
      </c>
      <c r="E24" s="48">
        <v>3</v>
      </c>
      <c r="F24" s="48">
        <v>5</v>
      </c>
      <c r="G24" s="48">
        <v>5</v>
      </c>
      <c r="H24" s="48">
        <v>3</v>
      </c>
      <c r="I24" s="48">
        <v>5</v>
      </c>
      <c r="J24" s="48">
        <v>5</v>
      </c>
      <c r="K24" s="49">
        <v>9</v>
      </c>
      <c r="L24" s="50"/>
      <c r="M24" s="51"/>
      <c r="N24" s="48"/>
      <c r="O24" s="47">
        <v>1</v>
      </c>
      <c r="P24" s="47" t="s">
        <v>43</v>
      </c>
      <c r="Q24" s="47" t="s">
        <v>43</v>
      </c>
      <c r="R24" s="52" t="s">
        <v>43</v>
      </c>
      <c r="S24" s="53" t="str">
        <f>VLOOKUP(T24,RW,$Z$137,FALSE)</f>
        <v>-</v>
      </c>
      <c r="T24" s="54">
        <f>VLOOKUP(Q24,Ruestung,$Z$130,FALSE)+IF(R24=1,1,0)</f>
        <v>0</v>
      </c>
      <c r="U24" s="60"/>
      <c r="V24" s="56" t="s">
        <v>43</v>
      </c>
      <c r="W24" s="57">
        <f>IF(B24="-",0,B24)*(170+IF(P24=1,6,0)+IF(O24=2,6,0)+IF(Q24="S",6,IF(Q24="L",3,IF(Q24="SF",45,0)))+IF(R24=1,3,0)+IF(V24="-",0,V24))</f>
        <v>0</v>
      </c>
      <c r="X24" s="69" t="s">
        <v>125</v>
      </c>
      <c r="Y24" s="70"/>
      <c r="Z24" s="59"/>
      <c r="AA24" s="59"/>
      <c r="AB24" s="59"/>
      <c r="AC24" s="59"/>
      <c r="AD24" s="59"/>
      <c r="AE24" s="59"/>
    </row>
    <row r="25" spans="1:31" s="45" customFormat="1" ht="15.75" customHeight="1">
      <c r="A25" s="46"/>
      <c r="B25" s="68"/>
      <c r="C25" s="48"/>
      <c r="D25" s="48"/>
      <c r="E25" s="48"/>
      <c r="F25" s="48"/>
      <c r="G25" s="48"/>
      <c r="H25" s="48"/>
      <c r="I25" s="48"/>
      <c r="J25" s="48"/>
      <c r="K25" s="60"/>
      <c r="L25" s="71"/>
      <c r="M25" s="53"/>
      <c r="N25" s="48"/>
      <c r="O25" s="68"/>
      <c r="P25" s="68"/>
      <c r="Q25" s="48"/>
      <c r="R25" s="60"/>
      <c r="S25" s="53"/>
      <c r="T25" s="54" t="e">
        <f>VLOOKUP(Q25,Ruestung,$Z$130,FALSE)+IF(R25=1,1,0)</f>
        <v>#N/A</v>
      </c>
      <c r="U25" s="60"/>
      <c r="V25" s="72"/>
      <c r="W25" s="72"/>
      <c r="X25" s="69" t="s">
        <v>126</v>
      </c>
      <c r="Y25" s="70"/>
      <c r="Z25" s="59"/>
      <c r="AA25" s="59"/>
      <c r="AB25" s="59"/>
      <c r="AC25" s="59"/>
      <c r="AD25" s="59"/>
      <c r="AE25" s="59"/>
    </row>
    <row r="26" spans="1:31" s="45" customFormat="1" ht="15.75" customHeight="1">
      <c r="A26" s="46"/>
      <c r="B26" s="68"/>
      <c r="C26" s="48"/>
      <c r="D26" s="48"/>
      <c r="E26" s="48"/>
      <c r="F26" s="48"/>
      <c r="G26" s="48"/>
      <c r="H26" s="48"/>
      <c r="I26" s="48"/>
      <c r="J26" s="48"/>
      <c r="K26" s="60"/>
      <c r="L26" s="71"/>
      <c r="M26" s="53"/>
      <c r="N26" s="48"/>
      <c r="O26" s="68"/>
      <c r="P26" s="68"/>
      <c r="Q26" s="48"/>
      <c r="R26" s="60"/>
      <c r="S26" s="53"/>
      <c r="T26" s="54"/>
      <c r="U26" s="60"/>
      <c r="V26" s="72"/>
      <c r="W26" s="72"/>
      <c r="X26" s="69" t="s">
        <v>128</v>
      </c>
      <c r="Y26" s="70"/>
      <c r="Z26" s="59"/>
      <c r="AA26" s="59"/>
      <c r="AB26" s="59"/>
      <c r="AC26" s="59"/>
      <c r="AD26" s="59"/>
      <c r="AE26" s="59"/>
    </row>
    <row r="27" spans="1:31" s="45" customFormat="1" ht="15.75" customHeight="1">
      <c r="A27" s="46"/>
      <c r="B27" s="68"/>
      <c r="C27" s="48"/>
      <c r="D27" s="48"/>
      <c r="E27" s="48"/>
      <c r="F27" s="48"/>
      <c r="G27" s="48"/>
      <c r="H27" s="48"/>
      <c r="I27" s="48"/>
      <c r="J27" s="48"/>
      <c r="K27" s="60"/>
      <c r="L27" s="71"/>
      <c r="M27" s="53"/>
      <c r="N27" s="48"/>
      <c r="O27" s="68"/>
      <c r="P27" s="68"/>
      <c r="Q27" s="48"/>
      <c r="R27" s="60"/>
      <c r="S27" s="53"/>
      <c r="T27" s="54"/>
      <c r="U27" s="60"/>
      <c r="V27" s="72"/>
      <c r="W27" s="72"/>
      <c r="X27" s="73" t="s">
        <v>127</v>
      </c>
      <c r="Y27" s="70"/>
      <c r="Z27" s="59"/>
      <c r="AA27" s="59"/>
      <c r="AB27" s="59"/>
      <c r="AC27" s="59"/>
      <c r="AD27" s="59"/>
      <c r="AE27" s="59"/>
    </row>
    <row r="28" spans="1:31" s="45" customFormat="1" ht="15.75" customHeight="1">
      <c r="A28" s="46"/>
      <c r="B28" s="68"/>
      <c r="C28" s="48"/>
      <c r="D28" s="48"/>
      <c r="E28" s="48"/>
      <c r="F28" s="48"/>
      <c r="G28" s="48"/>
      <c r="H28" s="48"/>
      <c r="I28" s="48"/>
      <c r="J28" s="48"/>
      <c r="K28" s="60"/>
      <c r="L28" s="71"/>
      <c r="M28" s="53"/>
      <c r="N28" s="48"/>
      <c r="O28" s="68"/>
      <c r="P28" s="68"/>
      <c r="Q28" s="48"/>
      <c r="R28" s="60"/>
      <c r="S28" s="53"/>
      <c r="T28" s="54"/>
      <c r="U28" s="60"/>
      <c r="V28" s="72"/>
      <c r="W28" s="72"/>
      <c r="X28" s="69" t="s">
        <v>129</v>
      </c>
      <c r="Y28" s="70"/>
      <c r="Z28" s="59"/>
      <c r="AA28" s="59"/>
      <c r="AB28" s="59"/>
      <c r="AC28" s="59"/>
      <c r="AD28" s="59"/>
      <c r="AE28" s="59"/>
    </row>
    <row r="29" spans="1:31" s="45" customFormat="1" ht="15.75" customHeight="1">
      <c r="A29" s="46"/>
      <c r="B29" s="68"/>
      <c r="C29" s="48"/>
      <c r="D29" s="48"/>
      <c r="E29" s="48"/>
      <c r="F29" s="48"/>
      <c r="G29" s="48"/>
      <c r="H29" s="48"/>
      <c r="I29" s="48"/>
      <c r="J29" s="48"/>
      <c r="K29" s="60"/>
      <c r="L29" s="71"/>
      <c r="M29" s="53"/>
      <c r="N29" s="48"/>
      <c r="O29" s="68"/>
      <c r="P29" s="68"/>
      <c r="Q29" s="48"/>
      <c r="R29" s="60"/>
      <c r="S29" s="53"/>
      <c r="T29" s="54"/>
      <c r="U29" s="60"/>
      <c r="V29" s="72"/>
      <c r="W29" s="72"/>
      <c r="X29" s="69" t="s">
        <v>130</v>
      </c>
      <c r="Y29" s="70"/>
      <c r="Z29" s="59"/>
      <c r="AA29" s="59"/>
      <c r="AB29" s="59"/>
      <c r="AC29" s="59"/>
      <c r="AD29" s="59"/>
      <c r="AE29" s="59"/>
    </row>
    <row r="30" spans="1:31" s="45" customFormat="1" ht="15.75" customHeight="1">
      <c r="A30" s="46"/>
      <c r="B30" s="68"/>
      <c r="C30" s="48"/>
      <c r="D30" s="48"/>
      <c r="E30" s="48"/>
      <c r="F30" s="48"/>
      <c r="G30" s="48"/>
      <c r="H30" s="48"/>
      <c r="I30" s="48"/>
      <c r="J30" s="48"/>
      <c r="K30" s="60"/>
      <c r="L30" s="71"/>
      <c r="M30" s="53"/>
      <c r="N30" s="48"/>
      <c r="O30" s="68"/>
      <c r="P30" s="68"/>
      <c r="Q30" s="48"/>
      <c r="R30" s="60"/>
      <c r="S30" s="53"/>
      <c r="T30" s="54"/>
      <c r="U30" s="60"/>
      <c r="V30" s="72"/>
      <c r="W30" s="72"/>
      <c r="X30" s="69" t="s">
        <v>131</v>
      </c>
      <c r="Y30" s="70"/>
      <c r="Z30" s="59"/>
      <c r="AA30" s="59"/>
      <c r="AB30" s="59"/>
      <c r="AC30" s="59"/>
      <c r="AD30" s="59"/>
      <c r="AE30" s="59"/>
    </row>
    <row r="31" spans="1:31" s="45" customFormat="1" ht="15.75" customHeight="1">
      <c r="A31" s="46"/>
      <c r="B31" s="68"/>
      <c r="C31" s="48"/>
      <c r="D31" s="48"/>
      <c r="E31" s="48"/>
      <c r="F31" s="48"/>
      <c r="G31" s="48"/>
      <c r="H31" s="48"/>
      <c r="I31" s="48"/>
      <c r="J31" s="48"/>
      <c r="K31" s="60"/>
      <c r="L31" s="71"/>
      <c r="M31" s="53"/>
      <c r="N31" s="48"/>
      <c r="O31" s="68"/>
      <c r="P31" s="68"/>
      <c r="Q31" s="48"/>
      <c r="R31" s="60"/>
      <c r="S31" s="53"/>
      <c r="T31" s="54"/>
      <c r="U31" s="60"/>
      <c r="V31" s="72"/>
      <c r="W31" s="72"/>
      <c r="X31" s="73" t="s">
        <v>132</v>
      </c>
      <c r="Y31" s="70"/>
      <c r="Z31" s="59"/>
      <c r="AA31" s="59"/>
      <c r="AB31" s="59"/>
      <c r="AC31" s="59"/>
      <c r="AD31" s="59"/>
      <c r="AE31" s="59"/>
    </row>
    <row r="32" spans="1:31" s="45" customFormat="1" ht="15.75" customHeight="1">
      <c r="A32" s="46"/>
      <c r="B32" s="68"/>
      <c r="C32" s="48"/>
      <c r="D32" s="48"/>
      <c r="E32" s="48"/>
      <c r="F32" s="48"/>
      <c r="G32" s="48"/>
      <c r="H32" s="48"/>
      <c r="I32" s="48"/>
      <c r="J32" s="48"/>
      <c r="K32" s="60"/>
      <c r="L32" s="71"/>
      <c r="M32" s="53"/>
      <c r="N32" s="48"/>
      <c r="O32" s="68"/>
      <c r="P32" s="68"/>
      <c r="Q32" s="48"/>
      <c r="R32" s="60"/>
      <c r="S32" s="53"/>
      <c r="T32" s="54"/>
      <c r="U32" s="60"/>
      <c r="V32" s="72"/>
      <c r="W32" s="72"/>
      <c r="X32" s="69" t="s">
        <v>133</v>
      </c>
      <c r="Y32" s="70"/>
      <c r="Z32" s="59"/>
      <c r="AA32" s="59"/>
      <c r="AB32" s="59"/>
      <c r="AC32" s="59"/>
      <c r="AD32" s="59"/>
      <c r="AE32" s="59"/>
    </row>
    <row r="33" spans="1:31" s="45" customFormat="1" ht="15.75" customHeight="1">
      <c r="A33" s="46"/>
      <c r="B33" s="68"/>
      <c r="C33" s="48"/>
      <c r="D33" s="48"/>
      <c r="E33" s="48"/>
      <c r="F33" s="48"/>
      <c r="G33" s="48"/>
      <c r="H33" s="48"/>
      <c r="I33" s="48"/>
      <c r="J33" s="48"/>
      <c r="K33" s="60"/>
      <c r="L33" s="71"/>
      <c r="M33" s="53"/>
      <c r="N33" s="48"/>
      <c r="O33" s="68"/>
      <c r="P33" s="68"/>
      <c r="Q33" s="48"/>
      <c r="R33" s="60"/>
      <c r="S33" s="53"/>
      <c r="T33" s="54"/>
      <c r="U33" s="60"/>
      <c r="V33" s="72"/>
      <c r="W33" s="72"/>
      <c r="X33" s="73" t="s">
        <v>54</v>
      </c>
      <c r="Y33" s="70"/>
      <c r="Z33" s="59"/>
      <c r="AA33" s="59"/>
      <c r="AB33" s="59"/>
      <c r="AC33" s="59"/>
      <c r="AD33" s="59"/>
      <c r="AE33" s="59"/>
    </row>
    <row r="34" spans="1:31" s="45" customFormat="1" ht="15.75" customHeight="1">
      <c r="A34" s="46"/>
      <c r="B34" s="68"/>
      <c r="C34" s="48"/>
      <c r="D34" s="48"/>
      <c r="E34" s="48"/>
      <c r="F34" s="48"/>
      <c r="G34" s="48"/>
      <c r="H34" s="48"/>
      <c r="I34" s="48"/>
      <c r="J34" s="48"/>
      <c r="K34" s="60"/>
      <c r="L34" s="71"/>
      <c r="M34" s="53"/>
      <c r="N34" s="48"/>
      <c r="O34" s="68"/>
      <c r="P34" s="68"/>
      <c r="Q34" s="48"/>
      <c r="R34" s="60"/>
      <c r="S34" s="53"/>
      <c r="T34" s="54"/>
      <c r="U34" s="60"/>
      <c r="V34" s="72"/>
      <c r="W34" s="72"/>
      <c r="X34" s="69" t="s">
        <v>56</v>
      </c>
      <c r="Y34" s="70"/>
      <c r="Z34" s="59"/>
      <c r="AA34" s="59"/>
      <c r="AB34" s="59"/>
      <c r="AC34" s="59"/>
      <c r="AD34" s="59"/>
      <c r="AE34" s="59"/>
    </row>
    <row r="35" spans="1:31" s="45" customFormat="1" ht="15.75" customHeight="1">
      <c r="A35" s="46"/>
      <c r="B35" s="68"/>
      <c r="C35" s="48"/>
      <c r="D35" s="48"/>
      <c r="E35" s="48"/>
      <c r="F35" s="48"/>
      <c r="G35" s="48"/>
      <c r="H35" s="48"/>
      <c r="I35" s="48"/>
      <c r="J35" s="48"/>
      <c r="K35" s="60"/>
      <c r="L35" s="71"/>
      <c r="M35" s="53"/>
      <c r="N35" s="48"/>
      <c r="O35" s="68"/>
      <c r="P35" s="68"/>
      <c r="Q35" s="48"/>
      <c r="R35" s="60"/>
      <c r="S35" s="53"/>
      <c r="T35" s="54"/>
      <c r="U35" s="60"/>
      <c r="V35" s="72"/>
      <c r="W35" s="72"/>
      <c r="X35" s="73" t="s">
        <v>169</v>
      </c>
      <c r="Y35" s="70"/>
      <c r="Z35" s="59"/>
      <c r="AA35" s="59"/>
      <c r="AB35" s="59"/>
      <c r="AC35" s="59"/>
      <c r="AD35" s="59"/>
      <c r="AE35" s="59"/>
    </row>
    <row r="36" spans="1:31" s="45" customFormat="1" ht="15.75" customHeight="1">
      <c r="A36" s="46"/>
      <c r="B36" s="68"/>
      <c r="C36" s="48"/>
      <c r="D36" s="48"/>
      <c r="E36" s="48"/>
      <c r="F36" s="48"/>
      <c r="G36" s="48"/>
      <c r="H36" s="48"/>
      <c r="I36" s="48"/>
      <c r="J36" s="48"/>
      <c r="K36" s="60"/>
      <c r="L36" s="71"/>
      <c r="M36" s="53"/>
      <c r="N36" s="48"/>
      <c r="O36" s="68"/>
      <c r="P36" s="68"/>
      <c r="Q36" s="48"/>
      <c r="R36" s="60"/>
      <c r="S36" s="53"/>
      <c r="T36" s="54"/>
      <c r="U36" s="60"/>
      <c r="V36" s="72"/>
      <c r="W36" s="72"/>
      <c r="X36" s="69" t="s">
        <v>170</v>
      </c>
      <c r="Y36" s="70"/>
      <c r="Z36" s="59"/>
      <c r="AA36" s="59"/>
      <c r="AB36" s="59"/>
      <c r="AC36" s="59"/>
      <c r="AD36" s="59"/>
      <c r="AE36" s="59"/>
    </row>
    <row r="37" spans="1:31" s="45" customFormat="1" ht="15.75" customHeight="1">
      <c r="A37" s="46"/>
      <c r="B37" s="68"/>
      <c r="C37" s="48"/>
      <c r="D37" s="48"/>
      <c r="E37" s="48"/>
      <c r="F37" s="48"/>
      <c r="G37" s="48"/>
      <c r="H37" s="48"/>
      <c r="I37" s="48"/>
      <c r="J37" s="48"/>
      <c r="K37" s="60"/>
      <c r="L37" s="71"/>
      <c r="M37" s="53"/>
      <c r="N37" s="48"/>
      <c r="O37" s="68"/>
      <c r="P37" s="68"/>
      <c r="Q37" s="48"/>
      <c r="R37" s="60"/>
      <c r="S37" s="53"/>
      <c r="T37" s="54"/>
      <c r="U37" s="60"/>
      <c r="V37" s="72"/>
      <c r="W37" s="72"/>
      <c r="X37" s="69"/>
      <c r="Y37" s="70"/>
      <c r="Z37" s="59"/>
      <c r="AA37" s="59"/>
      <c r="AB37" s="59"/>
      <c r="AC37" s="59"/>
      <c r="AD37" s="59"/>
      <c r="AE37" s="59"/>
    </row>
    <row r="38" spans="1:26" s="45" customFormat="1" ht="15.75" customHeight="1">
      <c r="A38" s="46"/>
      <c r="B38" s="68"/>
      <c r="C38" s="48"/>
      <c r="D38" s="48"/>
      <c r="E38" s="48"/>
      <c r="F38" s="48"/>
      <c r="G38" s="48"/>
      <c r="H38" s="48"/>
      <c r="I38" s="48"/>
      <c r="J38" s="48"/>
      <c r="K38" s="60"/>
      <c r="L38" s="71"/>
      <c r="M38" s="53"/>
      <c r="N38" s="48"/>
      <c r="O38" s="68"/>
      <c r="P38" s="68"/>
      <c r="Q38" s="48"/>
      <c r="R38" s="60"/>
      <c r="S38" s="53"/>
      <c r="T38" s="54" t="e">
        <f>VLOOKUP(Q38,Ruestung,$Z$130,FALSE)+IF(R38=1,1,0)</f>
        <v>#N/A</v>
      </c>
      <c r="U38" s="60"/>
      <c r="V38" s="72"/>
      <c r="W38" s="72"/>
      <c r="X38" s="69"/>
      <c r="Y38" s="70"/>
      <c r="Z38" s="74"/>
    </row>
    <row r="39" spans="1:24" s="45" customFormat="1" ht="25.5" customHeight="1">
      <c r="A39" s="75" t="s">
        <v>150</v>
      </c>
      <c r="B39" s="76" t="s">
        <v>15</v>
      </c>
      <c r="C39" s="77" t="s">
        <v>101</v>
      </c>
      <c r="D39" s="77" t="s">
        <v>62</v>
      </c>
      <c r="E39" s="77" t="s">
        <v>63</v>
      </c>
      <c r="F39" s="77" t="s">
        <v>155</v>
      </c>
      <c r="G39" s="77" t="s">
        <v>13</v>
      </c>
      <c r="H39" s="77" t="s">
        <v>64</v>
      </c>
      <c r="I39" s="77" t="s">
        <v>65</v>
      </c>
      <c r="J39" s="77" t="s">
        <v>66</v>
      </c>
      <c r="K39" s="77" t="s">
        <v>67</v>
      </c>
      <c r="L39" s="78"/>
      <c r="M39" s="77" t="s">
        <v>135</v>
      </c>
      <c r="N39" s="77" t="s">
        <v>136</v>
      </c>
      <c r="O39" s="77" t="s">
        <v>174</v>
      </c>
      <c r="P39" s="77" t="s">
        <v>175</v>
      </c>
      <c r="Q39" s="77" t="s">
        <v>176</v>
      </c>
      <c r="R39" s="77" t="s">
        <v>178</v>
      </c>
      <c r="S39" s="79" t="s">
        <v>68</v>
      </c>
      <c r="T39" s="54" t="e">
        <f>VLOOKUP(Q39,Ruestung,$Z$130,FALSE)+IF(R39=1,1,0)</f>
        <v>#N/A</v>
      </c>
      <c r="U39" s="80" t="s">
        <v>177</v>
      </c>
      <c r="V39" s="81" t="s">
        <v>40</v>
      </c>
      <c r="W39" s="82" t="s">
        <v>153</v>
      </c>
      <c r="X39" s="83" t="s">
        <v>149</v>
      </c>
    </row>
    <row r="40" spans="1:24" s="45" customFormat="1" ht="15.75" customHeight="1">
      <c r="A40" s="46"/>
      <c r="B40" s="48"/>
      <c r="C40" s="48"/>
      <c r="D40" s="48"/>
      <c r="E40" s="48"/>
      <c r="F40" s="48"/>
      <c r="G40" s="48"/>
      <c r="H40" s="48"/>
      <c r="I40" s="48"/>
      <c r="J40" s="48"/>
      <c r="K40" s="49"/>
      <c r="L40" s="84"/>
      <c r="M40" s="51"/>
      <c r="N40" s="48"/>
      <c r="O40" s="48"/>
      <c r="P40" s="48"/>
      <c r="Q40" s="48"/>
      <c r="R40" s="49"/>
      <c r="S40" s="85"/>
      <c r="T40" s="54" t="e">
        <f>VLOOKUP(Q40,Ruestung,$Z$130,FALSE)+IF(R40=1,1,0)</f>
        <v>#N/A</v>
      </c>
      <c r="U40" s="60"/>
      <c r="V40" s="57"/>
      <c r="W40" s="57"/>
      <c r="X40" s="58"/>
    </row>
    <row r="41" spans="1:33" s="45" customFormat="1" ht="15.75" customHeight="1">
      <c r="A41" s="46" t="s">
        <v>26</v>
      </c>
      <c r="B41" s="47" t="s">
        <v>43</v>
      </c>
      <c r="C41" s="48">
        <v>3</v>
      </c>
      <c r="D41" s="48">
        <v>6</v>
      </c>
      <c r="E41" s="48">
        <v>4</v>
      </c>
      <c r="F41" s="48">
        <v>4</v>
      </c>
      <c r="G41" s="48">
        <v>4</v>
      </c>
      <c r="H41" s="48">
        <v>2</v>
      </c>
      <c r="I41" s="48">
        <v>3</v>
      </c>
      <c r="J41" s="48">
        <v>3</v>
      </c>
      <c r="K41" s="49">
        <v>10</v>
      </c>
      <c r="L41" s="84"/>
      <c r="M41" s="51"/>
      <c r="N41" s="48"/>
      <c r="O41" s="48">
        <v>1</v>
      </c>
      <c r="P41" s="65" t="s">
        <v>43</v>
      </c>
      <c r="Q41" s="47" t="s">
        <v>43</v>
      </c>
      <c r="R41" s="65" t="s">
        <v>43</v>
      </c>
      <c r="S41" s="53" t="str">
        <f>VLOOKUP(T41,RW,$Z$137,FALSE)</f>
        <v>-</v>
      </c>
      <c r="T41" s="54">
        <f>VLOOKUP(Q41,Ruestung,$Z$130,FALSE)+IF(R41=1,1,0)</f>
        <v>0</v>
      </c>
      <c r="U41" s="60"/>
      <c r="V41" s="56" t="s">
        <v>43</v>
      </c>
      <c r="W41" s="57">
        <f>IF(B41="-",0,B41)*(85+IF(P41=1,4,0)+IF(O41=2,4,0)+IF(Q41="S",4,IF(Q41="L",2,IF(Q41="SF",45,0)))+IF(R41=1,2,0)+IF(V41="-",0,V41))</f>
        <v>0</v>
      </c>
      <c r="X41" s="58"/>
      <c r="Z41" s="59"/>
      <c r="AA41" s="59"/>
      <c r="AB41" s="59"/>
      <c r="AC41" s="59"/>
      <c r="AD41" s="59"/>
      <c r="AE41" s="59"/>
      <c r="AF41" s="59"/>
      <c r="AG41" s="59"/>
    </row>
    <row r="42" spans="1:33" s="45" customFormat="1" ht="15.75" customHeight="1">
      <c r="A42" s="46" t="s">
        <v>48</v>
      </c>
      <c r="B42" s="48"/>
      <c r="C42" s="48"/>
      <c r="D42" s="48"/>
      <c r="E42" s="48"/>
      <c r="F42" s="48"/>
      <c r="G42" s="48"/>
      <c r="H42" s="48"/>
      <c r="I42" s="48"/>
      <c r="J42" s="48"/>
      <c r="K42" s="49"/>
      <c r="L42" s="84"/>
      <c r="M42" s="51"/>
      <c r="N42" s="48"/>
      <c r="O42" s="48"/>
      <c r="P42" s="48"/>
      <c r="Q42" s="48"/>
      <c r="R42" s="49"/>
      <c r="S42" s="53"/>
      <c r="T42" s="54" t="e">
        <f>VLOOKUP(Q42,Ruestung,$Z$130,FALSE)+IF(R42=1,1,0)</f>
        <v>#N/A</v>
      </c>
      <c r="U42" s="60"/>
      <c r="V42" s="72"/>
      <c r="W42" s="57"/>
      <c r="X42" s="58"/>
      <c r="Z42" s="59"/>
      <c r="AA42" s="59"/>
      <c r="AB42" s="59"/>
      <c r="AC42" s="59"/>
      <c r="AD42" s="59"/>
      <c r="AE42" s="59"/>
      <c r="AF42" s="59"/>
      <c r="AG42" s="59"/>
    </row>
    <row r="43" spans="1:33" s="45" customFormat="1" ht="15.75" customHeight="1">
      <c r="A43" s="46"/>
      <c r="B43" s="48"/>
      <c r="C43" s="48"/>
      <c r="D43" s="48"/>
      <c r="E43" s="48"/>
      <c r="F43" s="48"/>
      <c r="G43" s="48"/>
      <c r="H43" s="48"/>
      <c r="I43" s="48"/>
      <c r="J43" s="48"/>
      <c r="K43" s="49"/>
      <c r="L43" s="84"/>
      <c r="M43" s="51"/>
      <c r="N43" s="48"/>
      <c r="O43" s="48"/>
      <c r="P43" s="48"/>
      <c r="Q43" s="48"/>
      <c r="R43" s="49"/>
      <c r="S43" s="53"/>
      <c r="T43" s="54"/>
      <c r="U43" s="60"/>
      <c r="V43" s="72"/>
      <c r="W43" s="57"/>
      <c r="X43" s="58"/>
      <c r="Z43" s="59"/>
      <c r="AA43" s="59"/>
      <c r="AB43" s="59"/>
      <c r="AC43" s="59"/>
      <c r="AD43" s="59"/>
      <c r="AE43" s="59"/>
      <c r="AF43" s="59"/>
      <c r="AG43" s="59"/>
    </row>
    <row r="44" spans="1:33" s="45" customFormat="1" ht="15.75" customHeight="1">
      <c r="A44" s="46" t="s">
        <v>26</v>
      </c>
      <c r="B44" s="47" t="s">
        <v>43</v>
      </c>
      <c r="C44" s="48">
        <v>8</v>
      </c>
      <c r="D44" s="48">
        <v>5</v>
      </c>
      <c r="E44" s="48">
        <v>3</v>
      </c>
      <c r="F44" s="48">
        <v>4</v>
      </c>
      <c r="G44" s="48">
        <v>5</v>
      </c>
      <c r="H44" s="48">
        <v>2</v>
      </c>
      <c r="I44" s="48">
        <v>4</v>
      </c>
      <c r="J44" s="48">
        <v>4</v>
      </c>
      <c r="K44" s="49">
        <v>9</v>
      </c>
      <c r="L44" s="84"/>
      <c r="M44" s="51"/>
      <c r="N44" s="48"/>
      <c r="O44" s="48">
        <v>1</v>
      </c>
      <c r="P44" s="65" t="s">
        <v>43</v>
      </c>
      <c r="Q44" s="47" t="s">
        <v>43</v>
      </c>
      <c r="R44" s="65" t="s">
        <v>43</v>
      </c>
      <c r="S44" s="53" t="str">
        <f>VLOOKUP(T44,RW,$Z$137,FALSE)</f>
        <v>-</v>
      </c>
      <c r="T44" s="54">
        <f>VLOOKUP(Q44,Ruestung,$Z$130,FALSE)+IF(R44=1,1,0)</f>
        <v>0</v>
      </c>
      <c r="U44" s="60"/>
      <c r="V44" s="56" t="s">
        <v>43</v>
      </c>
      <c r="W44" s="57">
        <f>IF(B44="-",0,B44)*(125+IF(P44=1,4,0)+IF(O44=2,4,0)+IF(Q44="S",4,IF(Q44="L",2,IF(Q44="SF",45,0)))+IF(R44=1,2,0)+IF(V44="-",0,V44))</f>
        <v>0</v>
      </c>
      <c r="X44" s="58" t="s">
        <v>55</v>
      </c>
      <c r="Z44" s="59"/>
      <c r="AA44" s="59"/>
      <c r="AB44" s="59"/>
      <c r="AC44" s="59"/>
      <c r="AD44" s="59"/>
      <c r="AE44" s="59"/>
      <c r="AF44" s="59"/>
      <c r="AG44" s="59"/>
    </row>
    <row r="45" spans="1:33" s="45" customFormat="1" ht="15.75" customHeight="1">
      <c r="A45" s="46" t="s">
        <v>50</v>
      </c>
      <c r="B45" s="48"/>
      <c r="C45" s="48"/>
      <c r="D45" s="48"/>
      <c r="E45" s="48"/>
      <c r="F45" s="48"/>
      <c r="G45" s="48"/>
      <c r="H45" s="48"/>
      <c r="I45" s="48"/>
      <c r="J45" s="48"/>
      <c r="K45" s="49"/>
      <c r="L45" s="84"/>
      <c r="M45" s="51"/>
      <c r="N45" s="48"/>
      <c r="O45" s="48"/>
      <c r="P45" s="48"/>
      <c r="Q45" s="48"/>
      <c r="R45" s="49"/>
      <c r="S45" s="53"/>
      <c r="T45" s="54"/>
      <c r="U45" s="60"/>
      <c r="V45" s="72"/>
      <c r="W45" s="57"/>
      <c r="X45" s="58"/>
      <c r="Z45" s="59"/>
      <c r="AA45" s="59"/>
      <c r="AB45" s="59"/>
      <c r="AC45" s="59"/>
      <c r="AD45" s="59"/>
      <c r="AE45" s="59"/>
      <c r="AF45" s="59"/>
      <c r="AG45" s="59"/>
    </row>
    <row r="46" spans="1:33" s="45" customFormat="1" ht="15.75" customHeight="1">
      <c r="A46" s="46"/>
      <c r="B46" s="48"/>
      <c r="C46" s="48"/>
      <c r="D46" s="48"/>
      <c r="E46" s="48"/>
      <c r="F46" s="48"/>
      <c r="G46" s="48"/>
      <c r="H46" s="48"/>
      <c r="I46" s="48"/>
      <c r="J46" s="48"/>
      <c r="K46" s="49"/>
      <c r="L46" s="84"/>
      <c r="M46" s="51"/>
      <c r="N46" s="48"/>
      <c r="O46" s="48"/>
      <c r="P46" s="48"/>
      <c r="Q46" s="48"/>
      <c r="R46" s="49"/>
      <c r="S46" s="53"/>
      <c r="T46" s="54" t="e">
        <f>VLOOKUP(Q46,Ruestung,$Z$130,FALSE)+IF(R46=1,1,0)</f>
        <v>#N/A</v>
      </c>
      <c r="U46" s="60"/>
      <c r="V46" s="57"/>
      <c r="W46" s="57"/>
      <c r="X46" s="58"/>
      <c r="Z46" s="59"/>
      <c r="AA46" s="59"/>
      <c r="AB46" s="59"/>
      <c r="AC46" s="59"/>
      <c r="AD46" s="59"/>
      <c r="AE46" s="59"/>
      <c r="AF46" s="59"/>
      <c r="AG46" s="59"/>
    </row>
    <row r="47" spans="1:33" s="45" customFormat="1" ht="15.75" customHeight="1">
      <c r="A47" s="46" t="s">
        <v>48</v>
      </c>
      <c r="B47" s="47" t="s">
        <v>43</v>
      </c>
      <c r="C47" s="48">
        <v>3</v>
      </c>
      <c r="D47" s="48">
        <v>6</v>
      </c>
      <c r="E47" s="48">
        <v>4</v>
      </c>
      <c r="F47" s="48">
        <v>4</v>
      </c>
      <c r="G47" s="48">
        <v>4</v>
      </c>
      <c r="H47" s="48">
        <v>2</v>
      </c>
      <c r="I47" s="48">
        <v>3</v>
      </c>
      <c r="J47" s="48">
        <v>3</v>
      </c>
      <c r="K47" s="49">
        <v>10</v>
      </c>
      <c r="L47" s="84"/>
      <c r="M47" s="51"/>
      <c r="N47" s="48"/>
      <c r="O47" s="47">
        <v>1</v>
      </c>
      <c r="P47" s="47" t="s">
        <v>43</v>
      </c>
      <c r="Q47" s="47" t="s">
        <v>43</v>
      </c>
      <c r="R47" s="52" t="s">
        <v>43</v>
      </c>
      <c r="S47" s="53" t="str">
        <f>VLOOKUP(T47,RW,$Z$137,FALSE)</f>
        <v>-</v>
      </c>
      <c r="T47" s="54">
        <f>VLOOKUP(Q47,Ruestung,$Z$130,FALSE)+IF(R47=1,1,0)</f>
        <v>0</v>
      </c>
      <c r="U47" s="60"/>
      <c r="V47" s="56" t="s">
        <v>43</v>
      </c>
      <c r="W47" s="57">
        <f>IF(B47="-",0,B47)*(60+IF(P47=1,4,0)+IF(O47=2,4,0)+IF(Q47="S",4,IF(Q47="L",2,IF(Q47="SF",45,0)))+IF(R47=1,2,0)+IF(V47="-",0,V47))</f>
        <v>0</v>
      </c>
      <c r="X47" s="58"/>
      <c r="Z47" s="59"/>
      <c r="AA47" s="59"/>
      <c r="AB47" s="59"/>
      <c r="AC47" s="59"/>
      <c r="AD47" s="59"/>
      <c r="AE47" s="59"/>
      <c r="AF47" s="59"/>
      <c r="AG47" s="59"/>
    </row>
    <row r="48" spans="1:24" s="45" customFormat="1" ht="15.75" customHeight="1">
      <c r="A48" s="46"/>
      <c r="B48" s="48"/>
      <c r="C48" s="48"/>
      <c r="D48" s="48"/>
      <c r="E48" s="48"/>
      <c r="F48" s="48"/>
      <c r="G48" s="48"/>
      <c r="H48" s="48"/>
      <c r="I48" s="48"/>
      <c r="J48" s="48"/>
      <c r="K48" s="49"/>
      <c r="L48" s="84"/>
      <c r="M48" s="51"/>
      <c r="N48" s="48"/>
      <c r="O48" s="48"/>
      <c r="P48" s="48"/>
      <c r="Q48" s="48"/>
      <c r="R48" s="49"/>
      <c r="S48" s="53"/>
      <c r="T48" s="54" t="e">
        <f>VLOOKUP(Q48,Ruestung,$Z$130,FALSE)+IF(R48=1,1,0)</f>
        <v>#N/A</v>
      </c>
      <c r="U48" s="60"/>
      <c r="V48" s="57"/>
      <c r="W48" s="57"/>
      <c r="X48" s="58"/>
    </row>
    <row r="49" spans="1:24" s="45" customFormat="1" ht="15.75" customHeight="1">
      <c r="A49" s="46" t="s">
        <v>49</v>
      </c>
      <c r="B49" s="47" t="s">
        <v>43</v>
      </c>
      <c r="C49" s="48">
        <v>3</v>
      </c>
      <c r="D49" s="48">
        <v>4</v>
      </c>
      <c r="E49" s="48">
        <v>3</v>
      </c>
      <c r="F49" s="48">
        <v>3</v>
      </c>
      <c r="G49" s="48">
        <v>4</v>
      </c>
      <c r="H49" s="48">
        <v>2</v>
      </c>
      <c r="I49" s="48">
        <v>2</v>
      </c>
      <c r="J49" s="48">
        <v>1</v>
      </c>
      <c r="K49" s="49">
        <v>9</v>
      </c>
      <c r="L49" s="84"/>
      <c r="M49" s="51"/>
      <c r="N49" s="48"/>
      <c r="O49" s="48">
        <v>1</v>
      </c>
      <c r="P49" s="65" t="s">
        <v>43</v>
      </c>
      <c r="Q49" s="65" t="s">
        <v>43</v>
      </c>
      <c r="R49" s="65" t="s">
        <v>43</v>
      </c>
      <c r="S49" s="53" t="str">
        <f>VLOOKUP(T49,RW,$Z$137,FALSE)</f>
        <v>-</v>
      </c>
      <c r="T49" s="54">
        <f>VLOOKUP(Q49,Ruestung,$Z$130,FALSE)+IF(R49=1,1,0)</f>
        <v>0</v>
      </c>
      <c r="U49" s="60"/>
      <c r="V49" s="56" t="s">
        <v>43</v>
      </c>
      <c r="W49" s="57">
        <f>IF(B49="-",0,B49)*(65+IF(B50=2,35,0)+IF(V49="-",0,V49))</f>
        <v>0</v>
      </c>
      <c r="X49" s="58" t="s">
        <v>91</v>
      </c>
    </row>
    <row r="50" spans="1:24" s="45" customFormat="1" ht="15.75" customHeight="1">
      <c r="A50" s="46" t="s">
        <v>163</v>
      </c>
      <c r="B50" s="47">
        <v>1</v>
      </c>
      <c r="C50" s="48"/>
      <c r="D50" s="48"/>
      <c r="E50" s="48"/>
      <c r="F50" s="48"/>
      <c r="G50" s="48"/>
      <c r="H50" s="48"/>
      <c r="I50" s="48"/>
      <c r="J50" s="48"/>
      <c r="K50" s="49"/>
      <c r="L50" s="84"/>
      <c r="M50" s="51"/>
      <c r="N50" s="48"/>
      <c r="O50" s="48"/>
      <c r="P50" s="48"/>
      <c r="Q50" s="48"/>
      <c r="R50" s="49"/>
      <c r="S50" s="53"/>
      <c r="T50" s="54" t="e">
        <f>VLOOKUP(Q50,Ruestung,$Z$130,FALSE)+IF(R50=1,1,0)</f>
        <v>#N/A</v>
      </c>
      <c r="U50" s="60"/>
      <c r="V50" s="57"/>
      <c r="W50" s="57"/>
      <c r="X50" s="58" t="s">
        <v>92</v>
      </c>
    </row>
    <row r="51" spans="1:24" s="45" customFormat="1" ht="15.75" customHeight="1">
      <c r="A51" s="46"/>
      <c r="B51" s="48"/>
      <c r="C51" s="48"/>
      <c r="D51" s="48"/>
      <c r="E51" s="48"/>
      <c r="F51" s="48"/>
      <c r="G51" s="48"/>
      <c r="H51" s="48"/>
      <c r="I51" s="48"/>
      <c r="J51" s="48"/>
      <c r="K51" s="49"/>
      <c r="L51" s="84"/>
      <c r="M51" s="51"/>
      <c r="N51" s="48"/>
      <c r="O51" s="48"/>
      <c r="P51" s="48"/>
      <c r="Q51" s="48"/>
      <c r="R51" s="49"/>
      <c r="S51" s="53" t="str">
        <f>VLOOKUP(T51,RW,$Z$137,FALSE)</f>
        <v>-</v>
      </c>
      <c r="T51" s="54"/>
      <c r="U51" s="60"/>
      <c r="V51" s="57"/>
      <c r="W51" s="57"/>
      <c r="X51" s="58"/>
    </row>
    <row r="52" spans="1:31" s="45" customFormat="1" ht="15.75" customHeight="1">
      <c r="A52" s="46" t="s">
        <v>50</v>
      </c>
      <c r="B52" s="47" t="s">
        <v>43</v>
      </c>
      <c r="C52" s="48">
        <v>8</v>
      </c>
      <c r="D52" s="48">
        <v>5</v>
      </c>
      <c r="E52" s="48">
        <v>3</v>
      </c>
      <c r="F52" s="48">
        <v>4</v>
      </c>
      <c r="G52" s="48">
        <v>5</v>
      </c>
      <c r="H52" s="48">
        <v>2</v>
      </c>
      <c r="I52" s="48">
        <v>4</v>
      </c>
      <c r="J52" s="48">
        <v>4</v>
      </c>
      <c r="K52" s="49">
        <v>9</v>
      </c>
      <c r="L52" s="50"/>
      <c r="M52" s="51"/>
      <c r="N52" s="48"/>
      <c r="O52" s="47">
        <v>1</v>
      </c>
      <c r="P52" s="47" t="s">
        <v>43</v>
      </c>
      <c r="Q52" s="47" t="s">
        <v>43</v>
      </c>
      <c r="R52" s="52" t="s">
        <v>43</v>
      </c>
      <c r="S52" s="53" t="str">
        <f>VLOOKUP(T52,RW,$Z$137,FALSE)</f>
        <v>-</v>
      </c>
      <c r="T52" s="54">
        <f>VLOOKUP(Q52,Ruestung,$Z$130,FALSE)+IF(R52=1,1,0)</f>
        <v>0</v>
      </c>
      <c r="U52" s="60"/>
      <c r="V52" s="56" t="s">
        <v>43</v>
      </c>
      <c r="W52" s="57">
        <f>IF(B52="-",0,B52)*(100+IF(P52=1,4,0)+IF(O52=2,4,0)+IF(Q52="S",4,IF(Q52="L",2,IF(Q52="SF",45,0)))+IF(R52=1,2,0)+IF(V52="-",0,V52))</f>
        <v>0</v>
      </c>
      <c r="X52" s="58"/>
      <c r="Z52" s="59"/>
      <c r="AA52" s="59"/>
      <c r="AB52" s="59"/>
      <c r="AC52" s="59"/>
      <c r="AD52" s="59"/>
      <c r="AE52" s="59"/>
    </row>
    <row r="53" spans="1:31" s="45" customFormat="1" ht="15.75" customHeight="1">
      <c r="A53" s="46"/>
      <c r="B53" s="68"/>
      <c r="C53" s="48"/>
      <c r="D53" s="48"/>
      <c r="E53" s="48"/>
      <c r="F53" s="48"/>
      <c r="G53" s="48"/>
      <c r="H53" s="48"/>
      <c r="I53" s="48"/>
      <c r="J53" s="48"/>
      <c r="K53" s="49"/>
      <c r="L53" s="84"/>
      <c r="M53" s="51"/>
      <c r="N53" s="48"/>
      <c r="O53" s="68"/>
      <c r="P53" s="68"/>
      <c r="Q53" s="68"/>
      <c r="R53" s="49"/>
      <c r="S53" s="53" t="str">
        <f>VLOOKUP(T53,RW,$Z$137,FALSE)</f>
        <v>-</v>
      </c>
      <c r="T53" s="54"/>
      <c r="U53" s="60"/>
      <c r="V53" s="72"/>
      <c r="W53" s="72"/>
      <c r="X53" s="58"/>
      <c r="Z53" s="59"/>
      <c r="AA53" s="59"/>
      <c r="AB53" s="59"/>
      <c r="AC53" s="59"/>
      <c r="AD53" s="59"/>
      <c r="AE53" s="59"/>
    </row>
    <row r="54" spans="1:31" s="45" customFormat="1" ht="15.75" customHeight="1">
      <c r="A54" s="46" t="s">
        <v>104</v>
      </c>
      <c r="B54" s="47" t="s">
        <v>43</v>
      </c>
      <c r="C54" s="48">
        <v>4</v>
      </c>
      <c r="D54" s="48">
        <v>5</v>
      </c>
      <c r="E54" s="48">
        <v>3</v>
      </c>
      <c r="F54" s="48">
        <v>4</v>
      </c>
      <c r="G54" s="48">
        <v>4</v>
      </c>
      <c r="H54" s="48">
        <v>2</v>
      </c>
      <c r="I54" s="48">
        <v>3</v>
      </c>
      <c r="J54" s="48">
        <v>3</v>
      </c>
      <c r="K54" s="49">
        <v>7</v>
      </c>
      <c r="L54" s="84"/>
      <c r="M54" s="51"/>
      <c r="N54" s="48"/>
      <c r="O54" s="47">
        <v>1</v>
      </c>
      <c r="P54" s="47" t="s">
        <v>43</v>
      </c>
      <c r="Q54" s="47" t="s">
        <v>43</v>
      </c>
      <c r="R54" s="52" t="s">
        <v>43</v>
      </c>
      <c r="S54" s="53" t="str">
        <f>VLOOKUP(T54,RW,$Z$137,FALSE)</f>
        <v>-</v>
      </c>
      <c r="T54" s="54">
        <f>VLOOKUP(Q54,Ruestung,$Z$130,FALSE)+IF(R54=1,1,0)</f>
        <v>0</v>
      </c>
      <c r="U54" s="60"/>
      <c r="V54" s="56" t="s">
        <v>43</v>
      </c>
      <c r="W54" s="57">
        <f>IF(B54="-",0,B54)*(40+IF(P54=1,4,0)+IF(O54=2,4,0)+IF(Q54="S",4,IF(Q54="L",2,IF(Q54="SF",45,0)))+IF(R54=1,2,0)+IF(V54="-",0,V54))</f>
        <v>0</v>
      </c>
      <c r="X54" s="58"/>
      <c r="Z54" s="59"/>
      <c r="AA54" s="59"/>
      <c r="AB54" s="59"/>
      <c r="AC54" s="59"/>
      <c r="AD54" s="59"/>
      <c r="AE54" s="59"/>
    </row>
    <row r="55" spans="1:31" s="45" customFormat="1" ht="15.75" customHeight="1">
      <c r="A55" s="46" t="s">
        <v>185</v>
      </c>
      <c r="B55" s="47" t="s">
        <v>43</v>
      </c>
      <c r="C55" s="48">
        <v>9</v>
      </c>
      <c r="D55" s="48">
        <v>3</v>
      </c>
      <c r="E55" s="48">
        <v>0</v>
      </c>
      <c r="F55" s="48">
        <v>3</v>
      </c>
      <c r="G55" s="48">
        <v>3</v>
      </c>
      <c r="H55" s="48">
        <v>1</v>
      </c>
      <c r="I55" s="48">
        <v>3</v>
      </c>
      <c r="J55" s="48">
        <v>1</v>
      </c>
      <c r="K55" s="49">
        <v>3</v>
      </c>
      <c r="L55" s="84"/>
      <c r="M55" s="51"/>
      <c r="N55" s="48"/>
      <c r="O55" s="47">
        <v>1</v>
      </c>
      <c r="P55" s="47" t="s">
        <v>43</v>
      </c>
      <c r="Q55" s="47" t="s">
        <v>43</v>
      </c>
      <c r="R55" s="52" t="s">
        <v>43</v>
      </c>
      <c r="S55" s="53" t="str">
        <f>VLOOKUP(T55,RWKavallerie,$Z$137,FALSE)</f>
        <v>6+</v>
      </c>
      <c r="T55" s="54">
        <f>VLOOKUP(Q55,RuestungKaval,$Z$130,FALSE)+IF(R55=1,1,0)</f>
        <v>1</v>
      </c>
      <c r="U55" s="60"/>
      <c r="V55" s="57"/>
      <c r="W55" s="57">
        <f>IF(B55="-",0,B55)*(12)</f>
        <v>0</v>
      </c>
      <c r="X55" s="58" t="s">
        <v>145</v>
      </c>
      <c r="Z55" s="59"/>
      <c r="AA55" s="59"/>
      <c r="AB55" s="59"/>
      <c r="AC55" s="59"/>
      <c r="AD55" s="59"/>
      <c r="AE55" s="59"/>
    </row>
    <row r="56" spans="1:24" s="45" customFormat="1" ht="15.75" customHeight="1">
      <c r="A56" s="46"/>
      <c r="B56" s="68"/>
      <c r="C56" s="48"/>
      <c r="D56" s="48"/>
      <c r="E56" s="48"/>
      <c r="F56" s="48"/>
      <c r="G56" s="48"/>
      <c r="H56" s="48"/>
      <c r="I56" s="48"/>
      <c r="J56" s="48"/>
      <c r="K56" s="49"/>
      <c r="L56" s="84"/>
      <c r="M56" s="51"/>
      <c r="N56" s="48"/>
      <c r="O56" s="68"/>
      <c r="P56" s="68"/>
      <c r="Q56" s="68"/>
      <c r="R56" s="86"/>
      <c r="S56" s="53"/>
      <c r="T56" s="54"/>
      <c r="U56" s="60"/>
      <c r="V56" s="72"/>
      <c r="W56" s="57"/>
      <c r="X56" s="58"/>
    </row>
    <row r="57" spans="1:24" s="45" customFormat="1" ht="24.75" customHeight="1">
      <c r="A57" s="75" t="s">
        <v>152</v>
      </c>
      <c r="B57" s="76" t="s">
        <v>15</v>
      </c>
      <c r="C57" s="77" t="s">
        <v>101</v>
      </c>
      <c r="D57" s="77" t="s">
        <v>62</v>
      </c>
      <c r="E57" s="77" t="s">
        <v>63</v>
      </c>
      <c r="F57" s="77" t="s">
        <v>155</v>
      </c>
      <c r="G57" s="77" t="s">
        <v>13</v>
      </c>
      <c r="H57" s="77" t="s">
        <v>64</v>
      </c>
      <c r="I57" s="77" t="s">
        <v>65</v>
      </c>
      <c r="J57" s="77" t="s">
        <v>66</v>
      </c>
      <c r="K57" s="77" t="s">
        <v>67</v>
      </c>
      <c r="L57" s="78"/>
      <c r="M57" s="77" t="s">
        <v>135</v>
      </c>
      <c r="N57" s="77" t="s">
        <v>136</v>
      </c>
      <c r="O57" s="77" t="s">
        <v>174</v>
      </c>
      <c r="P57" s="77" t="s">
        <v>175</v>
      </c>
      <c r="Q57" s="77" t="s">
        <v>176</v>
      </c>
      <c r="R57" s="77" t="s">
        <v>178</v>
      </c>
      <c r="S57" s="79" t="s">
        <v>68</v>
      </c>
      <c r="T57" s="54" t="e">
        <f aca="true" t="shared" si="1" ref="T57:T62">VLOOKUP(Q57,Ruestung,$Z$130,FALSE)+IF(R57=1,1,0)</f>
        <v>#N/A</v>
      </c>
      <c r="U57" s="80" t="s">
        <v>177</v>
      </c>
      <c r="V57" s="81" t="s">
        <v>40</v>
      </c>
      <c r="W57" s="82" t="s">
        <v>153</v>
      </c>
      <c r="X57" s="80" t="s">
        <v>149</v>
      </c>
    </row>
    <row r="58" spans="1:24" s="45" customFormat="1" ht="15.75" customHeight="1">
      <c r="A58" s="87" t="s">
        <v>33</v>
      </c>
      <c r="B58" s="47" t="s">
        <v>43</v>
      </c>
      <c r="C58" s="48">
        <v>3</v>
      </c>
      <c r="D58" s="48">
        <v>4</v>
      </c>
      <c r="E58" s="48">
        <v>3</v>
      </c>
      <c r="F58" s="48">
        <v>3</v>
      </c>
      <c r="G58" s="48">
        <v>4</v>
      </c>
      <c r="H58" s="48">
        <v>1</v>
      </c>
      <c r="I58" s="48">
        <v>2</v>
      </c>
      <c r="J58" s="48">
        <v>1</v>
      </c>
      <c r="K58" s="49">
        <v>9</v>
      </c>
      <c r="L58" s="84"/>
      <c r="M58" s="88" t="s">
        <v>43</v>
      </c>
      <c r="N58" s="47" t="s">
        <v>43</v>
      </c>
      <c r="O58" s="48">
        <v>1</v>
      </c>
      <c r="P58" s="47" t="s">
        <v>43</v>
      </c>
      <c r="Q58" s="68" t="s">
        <v>155</v>
      </c>
      <c r="R58" s="86">
        <v>1</v>
      </c>
      <c r="S58" s="53" t="str">
        <f>VLOOKUP(T58,RW,$Z$137,FALSE)</f>
        <v>4+</v>
      </c>
      <c r="T58" s="54">
        <f>VLOOKUP(Q58,Ruestung,$Z$130,FALSE)+IF(R58=1,1,0)</f>
        <v>3</v>
      </c>
      <c r="U58" s="60"/>
      <c r="V58" s="56" t="s">
        <v>43</v>
      </c>
      <c r="W58" s="57">
        <f>(IF(B58="-",0,B58)*(9+IF(P58=1,2,0)))+IF(M58="-",0,M58*10)+IF(N58="-",0,N58*10)+IF(V58="-",0,V58)</f>
        <v>0</v>
      </c>
      <c r="X58" s="58"/>
    </row>
    <row r="59" spans="1:24" s="45" customFormat="1" ht="15.75" customHeight="1">
      <c r="A59" s="87" t="s">
        <v>36</v>
      </c>
      <c r="B59" s="47" t="s">
        <v>43</v>
      </c>
      <c r="C59" s="48">
        <v>3</v>
      </c>
      <c r="D59" s="48">
        <v>4</v>
      </c>
      <c r="E59" s="48">
        <v>3</v>
      </c>
      <c r="F59" s="48">
        <v>3</v>
      </c>
      <c r="G59" s="48">
        <v>4</v>
      </c>
      <c r="H59" s="48">
        <v>1</v>
      </c>
      <c r="I59" s="48">
        <v>2</v>
      </c>
      <c r="J59" s="48">
        <v>2</v>
      </c>
      <c r="K59" s="49">
        <v>9</v>
      </c>
      <c r="L59" s="84"/>
      <c r="M59" s="51"/>
      <c r="N59" s="48"/>
      <c r="O59" s="48">
        <v>1</v>
      </c>
      <c r="P59" s="68" t="str">
        <f>P58</f>
        <v>-</v>
      </c>
      <c r="Q59" s="68" t="str">
        <f>Q58</f>
        <v>S</v>
      </c>
      <c r="R59" s="68">
        <f>R58</f>
        <v>1</v>
      </c>
      <c r="S59" s="53" t="str">
        <f>VLOOKUP(T59,RW,$Z$137,FALSE)</f>
        <v>4+</v>
      </c>
      <c r="T59" s="54">
        <f t="shared" si="1"/>
        <v>3</v>
      </c>
      <c r="U59" s="60"/>
      <c r="V59" s="57"/>
      <c r="W59" s="57">
        <f>IF(B59="-",0,B59)*(19+IF(P59=1,2,0))</f>
        <v>0</v>
      </c>
      <c r="X59" s="58"/>
    </row>
    <row r="60" spans="1:24" s="45" customFormat="1" ht="15.75" customHeight="1">
      <c r="A60" s="89"/>
      <c r="B60" s="48"/>
      <c r="C60" s="48"/>
      <c r="D60" s="48"/>
      <c r="E60" s="48"/>
      <c r="F60" s="48"/>
      <c r="G60" s="48"/>
      <c r="H60" s="48"/>
      <c r="I60" s="48"/>
      <c r="J60" s="48"/>
      <c r="K60" s="49"/>
      <c r="L60" s="84"/>
      <c r="M60" s="51"/>
      <c r="N60" s="48"/>
      <c r="O60" s="48"/>
      <c r="P60" s="48"/>
      <c r="Q60" s="48"/>
      <c r="R60" s="49"/>
      <c r="S60" s="90"/>
      <c r="T60" s="54" t="e">
        <f t="shared" si="1"/>
        <v>#N/A</v>
      </c>
      <c r="U60" s="60"/>
      <c r="V60" s="57"/>
      <c r="W60" s="57"/>
      <c r="X60" s="58"/>
    </row>
    <row r="61" spans="1:24" s="45" customFormat="1" ht="15.75" customHeight="1">
      <c r="A61" s="87" t="s">
        <v>142</v>
      </c>
      <c r="B61" s="47" t="s">
        <v>43</v>
      </c>
      <c r="C61" s="48">
        <v>3</v>
      </c>
      <c r="D61" s="48">
        <v>4</v>
      </c>
      <c r="E61" s="48">
        <v>3</v>
      </c>
      <c r="F61" s="48">
        <v>3</v>
      </c>
      <c r="G61" s="48">
        <v>4</v>
      </c>
      <c r="H61" s="48">
        <v>1</v>
      </c>
      <c r="I61" s="48">
        <v>2</v>
      </c>
      <c r="J61" s="48">
        <v>1</v>
      </c>
      <c r="K61" s="49">
        <v>9</v>
      </c>
      <c r="L61" s="84"/>
      <c r="M61" s="88" t="s">
        <v>43</v>
      </c>
      <c r="N61" s="47" t="s">
        <v>43</v>
      </c>
      <c r="O61" s="48">
        <v>1</v>
      </c>
      <c r="P61" s="48" t="s">
        <v>43</v>
      </c>
      <c r="Q61" s="68" t="s">
        <v>155</v>
      </c>
      <c r="R61" s="48" t="s">
        <v>43</v>
      </c>
      <c r="S61" s="53" t="str">
        <f>VLOOKUP(T61,RW,$Z$137,FALSE)</f>
        <v>5+</v>
      </c>
      <c r="T61" s="54">
        <f t="shared" si="1"/>
        <v>2</v>
      </c>
      <c r="U61" s="60"/>
      <c r="V61" s="56" t="s">
        <v>43</v>
      </c>
      <c r="W61" s="57">
        <f>(IF(B61="-",0,B61)*(12+IF(P61=1,2,0)))+IF(M61="-",0,M61*10)+IF(N61="-",0,N61*10)+IF(V61="-",0,V61)</f>
        <v>0</v>
      </c>
      <c r="X61" s="58" t="s">
        <v>139</v>
      </c>
    </row>
    <row r="62" spans="1:24" s="45" customFormat="1" ht="15.75" customHeight="1">
      <c r="A62" s="87" t="s">
        <v>36</v>
      </c>
      <c r="B62" s="47" t="s">
        <v>43</v>
      </c>
      <c r="C62" s="48">
        <v>3</v>
      </c>
      <c r="D62" s="48">
        <v>4</v>
      </c>
      <c r="E62" s="48">
        <v>3</v>
      </c>
      <c r="F62" s="48">
        <v>3</v>
      </c>
      <c r="G62" s="48">
        <v>4</v>
      </c>
      <c r="H62" s="48">
        <v>1</v>
      </c>
      <c r="I62" s="48">
        <v>2</v>
      </c>
      <c r="J62" s="48">
        <v>2</v>
      </c>
      <c r="K62" s="49">
        <v>9</v>
      </c>
      <c r="L62" s="84"/>
      <c r="M62" s="51"/>
      <c r="N62" s="48"/>
      <c r="O62" s="48">
        <v>1</v>
      </c>
      <c r="P62" s="68" t="str">
        <f>P61</f>
        <v>-</v>
      </c>
      <c r="Q62" s="68" t="str">
        <f>Q61</f>
        <v>S</v>
      </c>
      <c r="R62" s="68" t="str">
        <f>R61</f>
        <v>-</v>
      </c>
      <c r="S62" s="53" t="str">
        <f>VLOOKUP(T62,RW,$Z$137,FALSE)</f>
        <v>5+</v>
      </c>
      <c r="T62" s="54">
        <f t="shared" si="1"/>
        <v>2</v>
      </c>
      <c r="U62" s="60"/>
      <c r="V62" s="57"/>
      <c r="W62" s="57">
        <f>IF(B62="-",0,B62)*(22+IF(P62=1,2,0))</f>
        <v>0</v>
      </c>
      <c r="X62" s="58" t="s">
        <v>181</v>
      </c>
    </row>
    <row r="63" spans="1:28" s="45" customFormat="1" ht="15.75" customHeight="1">
      <c r="A63" s="87"/>
      <c r="B63" s="48"/>
      <c r="C63" s="48"/>
      <c r="D63" s="48"/>
      <c r="E63" s="48"/>
      <c r="F63" s="48"/>
      <c r="G63" s="48"/>
      <c r="H63" s="48"/>
      <c r="I63" s="48"/>
      <c r="J63" s="48"/>
      <c r="K63" s="49"/>
      <c r="L63" s="84"/>
      <c r="M63" s="51"/>
      <c r="N63" s="48"/>
      <c r="O63" s="48"/>
      <c r="P63" s="68"/>
      <c r="Q63" s="68"/>
      <c r="R63" s="86"/>
      <c r="S63" s="67"/>
      <c r="T63" s="54"/>
      <c r="U63" s="60"/>
      <c r="V63" s="57"/>
      <c r="W63" s="57"/>
      <c r="X63" s="91" t="s">
        <v>124</v>
      </c>
      <c r="Z63" s="59"/>
      <c r="AA63" s="59"/>
      <c r="AB63" s="59"/>
    </row>
    <row r="64" spans="1:28" s="45" customFormat="1" ht="15.75" customHeight="1">
      <c r="A64" s="87"/>
      <c r="B64" s="48"/>
      <c r="C64" s="48"/>
      <c r="D64" s="48"/>
      <c r="E64" s="48"/>
      <c r="F64" s="48"/>
      <c r="G64" s="48"/>
      <c r="H64" s="48"/>
      <c r="I64" s="48"/>
      <c r="J64" s="48"/>
      <c r="K64" s="49"/>
      <c r="L64" s="84"/>
      <c r="M64" s="51"/>
      <c r="N64" s="48"/>
      <c r="O64" s="48"/>
      <c r="P64" s="68"/>
      <c r="Q64" s="68"/>
      <c r="R64" s="86"/>
      <c r="S64" s="67"/>
      <c r="T64" s="54"/>
      <c r="U64" s="60"/>
      <c r="V64" s="57"/>
      <c r="W64" s="57"/>
      <c r="X64" s="91" t="s">
        <v>182</v>
      </c>
      <c r="Z64" s="59"/>
      <c r="AA64" s="59"/>
      <c r="AB64" s="59"/>
    </row>
    <row r="65" spans="1:29" s="45" customFormat="1" ht="15.75" customHeight="1">
      <c r="A65" s="87"/>
      <c r="B65" s="68"/>
      <c r="C65" s="48"/>
      <c r="D65" s="48"/>
      <c r="E65" s="48"/>
      <c r="F65" s="48"/>
      <c r="G65" s="48"/>
      <c r="H65" s="48"/>
      <c r="I65" s="48"/>
      <c r="J65" s="48"/>
      <c r="K65" s="49"/>
      <c r="L65" s="84"/>
      <c r="M65" s="51"/>
      <c r="N65" s="48"/>
      <c r="O65" s="48"/>
      <c r="P65" s="48"/>
      <c r="Q65" s="48"/>
      <c r="R65" s="86"/>
      <c r="S65" s="67"/>
      <c r="T65" s="54" t="e">
        <f aca="true" t="shared" si="2" ref="T65:T71">VLOOKUP(Q65,Ruestung,$Z$130,FALSE)+IF(R65=1,1,0)</f>
        <v>#N/A</v>
      </c>
      <c r="U65" s="60"/>
      <c r="V65" s="57"/>
      <c r="W65" s="72"/>
      <c r="X65" s="58"/>
      <c r="Z65" s="59"/>
      <c r="AA65" s="59"/>
      <c r="AB65" s="59"/>
      <c r="AC65" s="92"/>
    </row>
    <row r="66" spans="1:29" s="45" customFormat="1" ht="15.75" customHeight="1">
      <c r="A66" s="87" t="s">
        <v>113</v>
      </c>
      <c r="B66" s="47" t="s">
        <v>43</v>
      </c>
      <c r="C66" s="48">
        <v>4</v>
      </c>
      <c r="D66" s="48">
        <v>3</v>
      </c>
      <c r="E66" s="48">
        <v>3</v>
      </c>
      <c r="F66" s="48">
        <v>3</v>
      </c>
      <c r="G66" s="48">
        <v>3</v>
      </c>
      <c r="H66" s="48">
        <v>1</v>
      </c>
      <c r="I66" s="48">
        <v>2</v>
      </c>
      <c r="J66" s="48">
        <v>1</v>
      </c>
      <c r="K66" s="49">
        <v>6</v>
      </c>
      <c r="L66" s="84"/>
      <c r="M66" s="88" t="s">
        <v>43</v>
      </c>
      <c r="N66" s="47" t="s">
        <v>43</v>
      </c>
      <c r="O66" s="48">
        <v>1</v>
      </c>
      <c r="P66" s="48" t="s">
        <v>43</v>
      </c>
      <c r="Q66" s="47" t="s">
        <v>43</v>
      </c>
      <c r="R66" s="52" t="s">
        <v>43</v>
      </c>
      <c r="S66" s="53" t="str">
        <f>VLOOKUP(T66,RW,$Z$137,FALSE)</f>
        <v>-</v>
      </c>
      <c r="T66" s="54">
        <f t="shared" si="2"/>
        <v>0</v>
      </c>
      <c r="U66" s="60"/>
      <c r="V66" s="57"/>
      <c r="W66" s="57">
        <f>(IF(B66="-",0,B66)*(2+IF(R66=1,1,0)+IF(Q66="L",1,0)))+IF(M66="-",0,M66*10)+IF(N66="-",0,N66*10)</f>
        <v>0</v>
      </c>
      <c r="X66" s="69" t="s">
        <v>143</v>
      </c>
      <c r="Z66" s="59"/>
      <c r="AA66" s="59"/>
      <c r="AB66" s="59"/>
      <c r="AC66" s="92"/>
    </row>
    <row r="67" spans="1:28" s="45" customFormat="1" ht="15.75" customHeight="1">
      <c r="A67" s="87" t="s">
        <v>35</v>
      </c>
      <c r="B67" s="47" t="s">
        <v>43</v>
      </c>
      <c r="C67" s="48">
        <v>4</v>
      </c>
      <c r="D67" s="48">
        <v>3</v>
      </c>
      <c r="E67" s="48">
        <v>3</v>
      </c>
      <c r="F67" s="48">
        <v>3</v>
      </c>
      <c r="G67" s="48">
        <v>3</v>
      </c>
      <c r="H67" s="48">
        <v>1</v>
      </c>
      <c r="I67" s="48">
        <v>2</v>
      </c>
      <c r="J67" s="48">
        <v>2</v>
      </c>
      <c r="K67" s="49">
        <v>6</v>
      </c>
      <c r="L67" s="84"/>
      <c r="M67" s="51"/>
      <c r="N67" s="48"/>
      <c r="O67" s="48">
        <v>1</v>
      </c>
      <c r="P67" s="48" t="s">
        <v>43</v>
      </c>
      <c r="Q67" s="48" t="str">
        <f>Q66</f>
        <v>-</v>
      </c>
      <c r="R67" s="86" t="str">
        <f>R66</f>
        <v>-</v>
      </c>
      <c r="S67" s="53" t="str">
        <f>VLOOKUP(T67,RW,$Z$137,FALSE)</f>
        <v>-</v>
      </c>
      <c r="T67" s="54">
        <f t="shared" si="2"/>
        <v>0</v>
      </c>
      <c r="U67" s="60"/>
      <c r="V67" s="57"/>
      <c r="W67" s="72">
        <f>IF(B67="-",0,B67)*(12+IF(R67=1,1,0)+IF(Q67="L",1,0))</f>
        <v>0</v>
      </c>
      <c r="X67" s="69" t="s">
        <v>143</v>
      </c>
      <c r="Z67" s="59"/>
      <c r="AA67" s="59"/>
      <c r="AB67" s="59"/>
    </row>
    <row r="68" spans="1:28" s="45" customFormat="1" ht="15.75" customHeight="1">
      <c r="A68" s="87"/>
      <c r="B68" s="48"/>
      <c r="C68" s="48"/>
      <c r="D68" s="48"/>
      <c r="E68" s="48"/>
      <c r="F68" s="48"/>
      <c r="G68" s="48"/>
      <c r="H68" s="48"/>
      <c r="I68" s="48"/>
      <c r="J68" s="48"/>
      <c r="K68" s="49"/>
      <c r="L68" s="84"/>
      <c r="M68" s="51"/>
      <c r="N68" s="48"/>
      <c r="O68" s="48"/>
      <c r="P68" s="48"/>
      <c r="Q68" s="48"/>
      <c r="R68" s="49"/>
      <c r="S68" s="67"/>
      <c r="T68" s="54" t="e">
        <f t="shared" si="2"/>
        <v>#N/A</v>
      </c>
      <c r="U68" s="60"/>
      <c r="V68" s="57"/>
      <c r="W68" s="57"/>
      <c r="X68" s="58"/>
      <c r="Z68" s="59"/>
      <c r="AA68" s="59"/>
      <c r="AB68" s="59"/>
    </row>
    <row r="69" spans="1:28" s="45" customFormat="1" ht="15.75" customHeight="1">
      <c r="A69" s="87" t="s">
        <v>156</v>
      </c>
      <c r="B69" s="47" t="s">
        <v>43</v>
      </c>
      <c r="C69" s="48">
        <v>4</v>
      </c>
      <c r="D69" s="48">
        <v>3</v>
      </c>
      <c r="E69" s="48">
        <v>3</v>
      </c>
      <c r="F69" s="48">
        <v>3</v>
      </c>
      <c r="G69" s="48">
        <v>3</v>
      </c>
      <c r="H69" s="48">
        <v>1</v>
      </c>
      <c r="I69" s="48">
        <v>2</v>
      </c>
      <c r="J69" s="48">
        <v>1</v>
      </c>
      <c r="K69" s="49">
        <v>6</v>
      </c>
      <c r="L69" s="84"/>
      <c r="M69" s="88" t="s">
        <v>43</v>
      </c>
      <c r="N69" s="47" t="s">
        <v>43</v>
      </c>
      <c r="O69" s="48">
        <v>1</v>
      </c>
      <c r="P69" s="48" t="s">
        <v>43</v>
      </c>
      <c r="Q69" s="47" t="s">
        <v>43</v>
      </c>
      <c r="R69" s="52" t="s">
        <v>43</v>
      </c>
      <c r="S69" s="53" t="str">
        <f>VLOOKUP(T69,RW,$Z$137,FALSE)</f>
        <v>-</v>
      </c>
      <c r="T69" s="54">
        <f t="shared" si="2"/>
        <v>0</v>
      </c>
      <c r="U69" s="60"/>
      <c r="V69" s="57"/>
      <c r="W69" s="57">
        <f>(IF(B69="-",0,B69)*(5+IF(R69=1,1,0)+IF(Q69="L",1,0)))+IF(M69="-",0,M69*10)+IF(N69="-",0,N69*10)</f>
        <v>0</v>
      </c>
      <c r="X69" s="58" t="s">
        <v>57</v>
      </c>
      <c r="Z69" s="59"/>
      <c r="AA69" s="59"/>
      <c r="AB69" s="59"/>
    </row>
    <row r="70" spans="1:28" s="45" customFormat="1" ht="15.75" customHeight="1">
      <c r="A70" s="87" t="s">
        <v>35</v>
      </c>
      <c r="B70" s="47" t="s">
        <v>43</v>
      </c>
      <c r="C70" s="48">
        <v>4</v>
      </c>
      <c r="D70" s="48">
        <v>3</v>
      </c>
      <c r="E70" s="48">
        <v>3</v>
      </c>
      <c r="F70" s="48">
        <v>3</v>
      </c>
      <c r="G70" s="48">
        <v>3</v>
      </c>
      <c r="H70" s="48">
        <v>1</v>
      </c>
      <c r="I70" s="48">
        <v>2</v>
      </c>
      <c r="J70" s="48">
        <v>2</v>
      </c>
      <c r="K70" s="49">
        <v>6</v>
      </c>
      <c r="L70" s="84"/>
      <c r="M70" s="51"/>
      <c r="N70" s="48"/>
      <c r="O70" s="48">
        <v>1</v>
      </c>
      <c r="P70" s="48" t="s">
        <v>43</v>
      </c>
      <c r="Q70" s="48" t="str">
        <f>Q69</f>
        <v>-</v>
      </c>
      <c r="R70" s="86" t="str">
        <f>R69</f>
        <v>-</v>
      </c>
      <c r="S70" s="53" t="str">
        <f>VLOOKUP(T70,RW,$Z$137,FALSE)</f>
        <v>-</v>
      </c>
      <c r="T70" s="54">
        <f t="shared" si="2"/>
        <v>0</v>
      </c>
      <c r="U70" s="60"/>
      <c r="V70" s="57"/>
      <c r="W70" s="72">
        <f>IF(B70="-",0,B70)*(15+IF(R70=1,1,0)+IF(Q70="L",1,0))</f>
        <v>0</v>
      </c>
      <c r="X70" s="58" t="s">
        <v>179</v>
      </c>
      <c r="Z70" s="59"/>
      <c r="AA70" s="59"/>
      <c r="AB70" s="59"/>
    </row>
    <row r="71" spans="1:28" s="45" customFormat="1" ht="15.75" customHeight="1">
      <c r="A71" s="87"/>
      <c r="B71" s="48"/>
      <c r="C71" s="48"/>
      <c r="D71" s="48"/>
      <c r="E71" s="48"/>
      <c r="F71" s="48"/>
      <c r="G71" s="48"/>
      <c r="H71" s="48"/>
      <c r="I71" s="48"/>
      <c r="J71" s="48"/>
      <c r="K71" s="49"/>
      <c r="L71" s="84"/>
      <c r="M71" s="51"/>
      <c r="N71" s="48"/>
      <c r="O71" s="48"/>
      <c r="P71" s="48"/>
      <c r="Q71" s="48"/>
      <c r="R71" s="49"/>
      <c r="S71" s="85"/>
      <c r="T71" s="54" t="e">
        <f t="shared" si="2"/>
        <v>#N/A</v>
      </c>
      <c r="U71" s="60"/>
      <c r="V71" s="57"/>
      <c r="W71" s="57"/>
      <c r="X71" s="58"/>
      <c r="Z71" s="59"/>
      <c r="AA71" s="59"/>
      <c r="AB71" s="59"/>
    </row>
    <row r="72" spans="1:29" s="45" customFormat="1" ht="15.75" customHeight="1">
      <c r="A72" s="87" t="s">
        <v>0</v>
      </c>
      <c r="B72" s="47" t="s">
        <v>43</v>
      </c>
      <c r="C72" s="48">
        <v>4</v>
      </c>
      <c r="D72" s="48">
        <v>3</v>
      </c>
      <c r="E72" s="48">
        <v>3</v>
      </c>
      <c r="F72" s="48">
        <v>3</v>
      </c>
      <c r="G72" s="48">
        <v>3</v>
      </c>
      <c r="H72" s="48">
        <v>1</v>
      </c>
      <c r="I72" s="48">
        <v>2</v>
      </c>
      <c r="J72" s="48">
        <v>1</v>
      </c>
      <c r="K72" s="49">
        <v>6</v>
      </c>
      <c r="L72" s="84"/>
      <c r="M72" s="88" t="s">
        <v>43</v>
      </c>
      <c r="N72" s="47" t="s">
        <v>43</v>
      </c>
      <c r="O72" s="48">
        <v>1</v>
      </c>
      <c r="P72" s="48" t="s">
        <v>43</v>
      </c>
      <c r="Q72" s="47" t="s">
        <v>43</v>
      </c>
      <c r="R72" s="52" t="s">
        <v>43</v>
      </c>
      <c r="S72" s="53" t="str">
        <f>VLOOKUP(T72,RWKavallerie,$Z$137,FALSE)</f>
        <v>6+</v>
      </c>
      <c r="T72" s="54">
        <f>VLOOKUP(Q72,RuestungKaval,$Z$130,FALSE)+IF(R72=1,1,0)</f>
        <v>1</v>
      </c>
      <c r="U72" s="60"/>
      <c r="V72" s="57"/>
      <c r="W72" s="57">
        <f>(IF(B72="-",0,B72)*(2+IF(R72=1,1,0)+IF(Q72="L",1,0)))+IF(M72="-",0,M72*10)+IF(N72="-",0,N72*10)</f>
        <v>0</v>
      </c>
      <c r="X72" s="69" t="s">
        <v>143</v>
      </c>
      <c r="Z72" s="59"/>
      <c r="AA72" s="59"/>
      <c r="AB72" s="59"/>
      <c r="AC72" s="92"/>
    </row>
    <row r="73" spans="1:28" s="45" customFormat="1" ht="15.75" customHeight="1">
      <c r="A73" s="87" t="s">
        <v>35</v>
      </c>
      <c r="B73" s="47" t="s">
        <v>43</v>
      </c>
      <c r="C73" s="48">
        <v>4</v>
      </c>
      <c r="D73" s="48">
        <v>3</v>
      </c>
      <c r="E73" s="48">
        <v>3</v>
      </c>
      <c r="F73" s="48">
        <v>3</v>
      </c>
      <c r="G73" s="48">
        <v>3</v>
      </c>
      <c r="H73" s="48">
        <v>1</v>
      </c>
      <c r="I73" s="48">
        <v>2</v>
      </c>
      <c r="J73" s="48">
        <v>2</v>
      </c>
      <c r="K73" s="49">
        <v>6</v>
      </c>
      <c r="L73" s="84"/>
      <c r="M73" s="51"/>
      <c r="N73" s="48"/>
      <c r="O73" s="48">
        <v>1</v>
      </c>
      <c r="P73" s="48" t="s">
        <v>43</v>
      </c>
      <c r="Q73" s="48" t="str">
        <f>Q72</f>
        <v>-</v>
      </c>
      <c r="R73" s="86" t="str">
        <f>R72</f>
        <v>-</v>
      </c>
      <c r="S73" s="53" t="str">
        <f>VLOOKUP(T73,RWKavallerie,$Z$137,FALSE)</f>
        <v>6+</v>
      </c>
      <c r="T73" s="54">
        <f>VLOOKUP(Q73,RuestungKaval,$Z$130,FALSE)+IF(R73=1,1,0)</f>
        <v>1</v>
      </c>
      <c r="U73" s="60"/>
      <c r="V73" s="57"/>
      <c r="W73" s="72">
        <f>IF(B73="-",0,B73)*(12+IF(R73=1,1,0)+IF(Q73="L",1,0))</f>
        <v>0</v>
      </c>
      <c r="X73" s="69" t="s">
        <v>143</v>
      </c>
      <c r="Z73" s="59"/>
      <c r="AA73" s="59"/>
      <c r="AB73" s="59"/>
    </row>
    <row r="74" spans="1:28" s="45" customFormat="1" ht="15.75" customHeight="1">
      <c r="A74" s="87" t="s">
        <v>140</v>
      </c>
      <c r="B74" s="68" t="str">
        <f>IF(B72="-","-",IF(B73="-",B72,B73+B72))</f>
        <v>-</v>
      </c>
      <c r="C74" s="48">
        <v>9</v>
      </c>
      <c r="D74" s="48">
        <v>3</v>
      </c>
      <c r="E74" s="48">
        <v>0</v>
      </c>
      <c r="F74" s="48">
        <v>3</v>
      </c>
      <c r="G74" s="48">
        <v>3</v>
      </c>
      <c r="H74" s="48">
        <v>1</v>
      </c>
      <c r="I74" s="48">
        <v>3</v>
      </c>
      <c r="J74" s="48">
        <v>1</v>
      </c>
      <c r="K74" s="49">
        <v>3</v>
      </c>
      <c r="L74" s="84"/>
      <c r="M74" s="51"/>
      <c r="N74" s="48"/>
      <c r="O74" s="48"/>
      <c r="P74" s="48"/>
      <c r="Q74" s="48"/>
      <c r="R74" s="49"/>
      <c r="S74" s="67"/>
      <c r="T74" s="54" t="e">
        <f>VLOOKUP(Q74,RuestungKaval,$Z$130,FALSE)+IF(R74=1,1,0)</f>
        <v>#N/A</v>
      </c>
      <c r="U74" s="60"/>
      <c r="V74" s="57"/>
      <c r="W74" s="57">
        <f>IF(B74="-",0,B74)*(9)</f>
        <v>0</v>
      </c>
      <c r="X74" s="58" t="s">
        <v>144</v>
      </c>
      <c r="Z74" s="59"/>
      <c r="AA74" s="59"/>
      <c r="AB74" s="59"/>
    </row>
    <row r="75" spans="1:28" s="45" customFormat="1" ht="15.75" customHeight="1">
      <c r="A75" s="93"/>
      <c r="B75" s="94"/>
      <c r="C75" s="95"/>
      <c r="D75" s="95"/>
      <c r="E75" s="95"/>
      <c r="F75" s="95"/>
      <c r="G75" s="95"/>
      <c r="H75" s="95"/>
      <c r="I75" s="95"/>
      <c r="J75" s="95"/>
      <c r="K75" s="96"/>
      <c r="L75" s="97"/>
      <c r="M75" s="98"/>
      <c r="N75" s="95"/>
      <c r="O75" s="95"/>
      <c r="P75" s="95"/>
      <c r="Q75" s="95"/>
      <c r="R75" s="96"/>
      <c r="S75" s="99"/>
      <c r="T75" s="54" t="e">
        <f>VLOOKUP(Q75,Ruestung,$Z$130,FALSE)+IF(R75=1,1,0)</f>
        <v>#N/A</v>
      </c>
      <c r="U75" s="100"/>
      <c r="V75" s="101"/>
      <c r="W75" s="101"/>
      <c r="X75" s="102"/>
      <c r="Z75" s="59"/>
      <c r="AA75" s="59"/>
      <c r="AB75" s="59"/>
    </row>
    <row r="76" spans="1:28" s="45" customFormat="1" ht="15.75" customHeight="1">
      <c r="A76" s="87" t="s">
        <v>141</v>
      </c>
      <c r="B76" s="47" t="s">
        <v>43</v>
      </c>
      <c r="C76" s="48">
        <v>4</v>
      </c>
      <c r="D76" s="48">
        <v>3</v>
      </c>
      <c r="E76" s="48">
        <v>3</v>
      </c>
      <c r="F76" s="48">
        <v>3</v>
      </c>
      <c r="G76" s="48">
        <v>3</v>
      </c>
      <c r="H76" s="48">
        <v>1</v>
      </c>
      <c r="I76" s="48">
        <v>2</v>
      </c>
      <c r="J76" s="48">
        <v>1</v>
      </c>
      <c r="K76" s="49">
        <v>6</v>
      </c>
      <c r="L76" s="84"/>
      <c r="M76" s="88" t="s">
        <v>43</v>
      </c>
      <c r="N76" s="47" t="s">
        <v>43</v>
      </c>
      <c r="O76" s="48">
        <v>1</v>
      </c>
      <c r="P76" s="48" t="s">
        <v>43</v>
      </c>
      <c r="Q76" s="47" t="s">
        <v>43</v>
      </c>
      <c r="R76" s="52" t="s">
        <v>43</v>
      </c>
      <c r="S76" s="53" t="str">
        <f>VLOOKUP(T76,RWKavallerie,$Z$137,FALSE)</f>
        <v>6+</v>
      </c>
      <c r="T76" s="54">
        <f>VLOOKUP(Q76,RuestungKaval,$Z$130,FALSE)+IF(R76=1,1,0)</f>
        <v>1</v>
      </c>
      <c r="U76" s="60"/>
      <c r="V76" s="57"/>
      <c r="W76" s="57">
        <f>(IF(B76="-",0,B76)*(5+IF(R76=1,1,0)+IF(Q76="L",1,0)))+IF(M76="-",0,M76*10)+IF(N76="-",0,N76*10)</f>
        <v>0</v>
      </c>
      <c r="X76" s="58" t="s">
        <v>57</v>
      </c>
      <c r="Z76" s="59"/>
      <c r="AA76" s="59"/>
      <c r="AB76" s="59"/>
    </row>
    <row r="77" spans="1:28" s="45" customFormat="1" ht="15.75" customHeight="1">
      <c r="A77" s="87" t="s">
        <v>35</v>
      </c>
      <c r="B77" s="47" t="s">
        <v>43</v>
      </c>
      <c r="C77" s="48">
        <v>4</v>
      </c>
      <c r="D77" s="48">
        <v>3</v>
      </c>
      <c r="E77" s="48">
        <v>3</v>
      </c>
      <c r="F77" s="48">
        <v>3</v>
      </c>
      <c r="G77" s="48">
        <v>3</v>
      </c>
      <c r="H77" s="48">
        <v>1</v>
      </c>
      <c r="I77" s="48">
        <v>2</v>
      </c>
      <c r="J77" s="48">
        <v>2</v>
      </c>
      <c r="K77" s="49">
        <v>6</v>
      </c>
      <c r="L77" s="84"/>
      <c r="M77" s="51"/>
      <c r="N77" s="48"/>
      <c r="O77" s="48">
        <v>1</v>
      </c>
      <c r="P77" s="48" t="s">
        <v>43</v>
      </c>
      <c r="Q77" s="48" t="str">
        <f>Q76</f>
        <v>-</v>
      </c>
      <c r="R77" s="86" t="str">
        <f>R76</f>
        <v>-</v>
      </c>
      <c r="S77" s="53" t="str">
        <f>VLOOKUP(T77,RWKavallerie,$Z$137,FALSE)</f>
        <v>6+</v>
      </c>
      <c r="T77" s="54">
        <f>VLOOKUP(Q77,RuestungKaval,$Z$130,FALSE)+IF(R77=1,1,0)</f>
        <v>1</v>
      </c>
      <c r="U77" s="60"/>
      <c r="V77" s="57"/>
      <c r="W77" s="72">
        <f>IF(B77="-",0,B77)*(15+IF(R77=1,1,0)+IF(Q77="L",1,0))</f>
        <v>0</v>
      </c>
      <c r="X77" s="58" t="s">
        <v>179</v>
      </c>
      <c r="Z77" s="59"/>
      <c r="AA77" s="59"/>
      <c r="AB77" s="59"/>
    </row>
    <row r="78" spans="1:28" s="45" customFormat="1" ht="15.75" customHeight="1">
      <c r="A78" s="87" t="s">
        <v>140</v>
      </c>
      <c r="B78" s="68" t="str">
        <f>IF(B76="-","-",IF(B77="-",B76,B77+B76))</f>
        <v>-</v>
      </c>
      <c r="C78" s="48">
        <v>9</v>
      </c>
      <c r="D78" s="48">
        <v>3</v>
      </c>
      <c r="E78" s="48">
        <v>0</v>
      </c>
      <c r="F78" s="48">
        <v>3</v>
      </c>
      <c r="G78" s="48">
        <v>3</v>
      </c>
      <c r="H78" s="48">
        <v>1</v>
      </c>
      <c r="I78" s="48">
        <v>3</v>
      </c>
      <c r="J78" s="48">
        <v>1</v>
      </c>
      <c r="K78" s="49">
        <v>3</v>
      </c>
      <c r="L78" s="84"/>
      <c r="M78" s="51"/>
      <c r="N78" s="48"/>
      <c r="O78" s="48"/>
      <c r="P78" s="48"/>
      <c r="Q78" s="48"/>
      <c r="R78" s="49"/>
      <c r="S78" s="67"/>
      <c r="T78" s="54" t="e">
        <f>VLOOKUP(Q78,RuestungKaval,$Z$130,FALSE)+IF(R78=1,1,0)</f>
        <v>#N/A</v>
      </c>
      <c r="U78" s="60"/>
      <c r="V78" s="57"/>
      <c r="W78" s="57">
        <f>IF(B78="-",0,B78)*(9)</f>
        <v>0</v>
      </c>
      <c r="X78" s="58" t="s">
        <v>144</v>
      </c>
      <c r="Z78" s="59"/>
      <c r="AA78" s="59"/>
      <c r="AB78" s="59"/>
    </row>
    <row r="79" spans="1:28" s="45" customFormat="1" ht="15.75" customHeight="1">
      <c r="A79" s="93"/>
      <c r="B79" s="94"/>
      <c r="C79" s="95"/>
      <c r="D79" s="95"/>
      <c r="E79" s="95"/>
      <c r="F79" s="95"/>
      <c r="G79" s="95"/>
      <c r="H79" s="95"/>
      <c r="I79" s="95"/>
      <c r="J79" s="95"/>
      <c r="K79" s="96"/>
      <c r="L79" s="97"/>
      <c r="M79" s="98"/>
      <c r="N79" s="95"/>
      <c r="O79" s="95"/>
      <c r="P79" s="95"/>
      <c r="Q79" s="95"/>
      <c r="R79" s="96"/>
      <c r="S79" s="99"/>
      <c r="T79" s="54" t="e">
        <f aca="true" t="shared" si="3" ref="T79:T86">VLOOKUP(Q79,Ruestung,$Z$130,FALSE)+IF(R79=1,1,0)</f>
        <v>#N/A</v>
      </c>
      <c r="U79" s="100"/>
      <c r="V79" s="101"/>
      <c r="W79" s="101"/>
      <c r="X79" s="102"/>
      <c r="Z79" s="59"/>
      <c r="AA79" s="59"/>
      <c r="AB79" s="59"/>
    </row>
    <row r="80" spans="1:28" s="45" customFormat="1" ht="24.75" customHeight="1">
      <c r="A80" s="75" t="s">
        <v>151</v>
      </c>
      <c r="B80" s="76" t="s">
        <v>15</v>
      </c>
      <c r="C80" s="77" t="s">
        <v>101</v>
      </c>
      <c r="D80" s="77" t="s">
        <v>62</v>
      </c>
      <c r="E80" s="77" t="s">
        <v>63</v>
      </c>
      <c r="F80" s="77" t="s">
        <v>155</v>
      </c>
      <c r="G80" s="77" t="s">
        <v>13</v>
      </c>
      <c r="H80" s="77" t="s">
        <v>64</v>
      </c>
      <c r="I80" s="77" t="s">
        <v>65</v>
      </c>
      <c r="J80" s="77" t="s">
        <v>66</v>
      </c>
      <c r="K80" s="77" t="s">
        <v>67</v>
      </c>
      <c r="L80" s="78"/>
      <c r="M80" s="77" t="s">
        <v>135</v>
      </c>
      <c r="N80" s="77" t="s">
        <v>136</v>
      </c>
      <c r="O80" s="77" t="s">
        <v>174</v>
      </c>
      <c r="P80" s="77" t="s">
        <v>175</v>
      </c>
      <c r="Q80" s="77" t="s">
        <v>176</v>
      </c>
      <c r="R80" s="77" t="s">
        <v>178</v>
      </c>
      <c r="S80" s="79" t="s">
        <v>68</v>
      </c>
      <c r="T80" s="54" t="e">
        <f t="shared" si="3"/>
        <v>#N/A</v>
      </c>
      <c r="U80" s="80" t="s">
        <v>177</v>
      </c>
      <c r="V80" s="81" t="s">
        <v>40</v>
      </c>
      <c r="W80" s="82" t="s">
        <v>153</v>
      </c>
      <c r="X80" s="80" t="s">
        <v>149</v>
      </c>
      <c r="Z80" s="59"/>
      <c r="AA80" s="59"/>
      <c r="AB80" s="59"/>
    </row>
    <row r="81" spans="1:28" s="45" customFormat="1" ht="15.75" customHeight="1">
      <c r="A81" s="87" t="s">
        <v>72</v>
      </c>
      <c r="B81" s="47" t="s">
        <v>43</v>
      </c>
      <c r="C81" s="48">
        <v>4</v>
      </c>
      <c r="D81" s="48">
        <v>3</v>
      </c>
      <c r="E81" s="48">
        <v>3</v>
      </c>
      <c r="F81" s="48">
        <v>3</v>
      </c>
      <c r="G81" s="48">
        <v>4</v>
      </c>
      <c r="H81" s="48">
        <v>1</v>
      </c>
      <c r="I81" s="48">
        <v>2</v>
      </c>
      <c r="J81" s="48">
        <v>1</v>
      </c>
      <c r="K81" s="49">
        <v>7</v>
      </c>
      <c r="L81" s="84"/>
      <c r="M81" s="88" t="s">
        <v>43</v>
      </c>
      <c r="N81" s="47" t="s">
        <v>43</v>
      </c>
      <c r="O81" s="47">
        <v>1</v>
      </c>
      <c r="P81" s="48" t="s">
        <v>43</v>
      </c>
      <c r="Q81" s="48" t="s">
        <v>28</v>
      </c>
      <c r="R81" s="52" t="s">
        <v>43</v>
      </c>
      <c r="S81" s="53" t="str">
        <f>VLOOKUP(T81,RW,$Z$137,FALSE)</f>
        <v>6+</v>
      </c>
      <c r="T81" s="54">
        <f t="shared" si="3"/>
        <v>1</v>
      </c>
      <c r="U81" s="60"/>
      <c r="V81" s="57"/>
      <c r="W81" s="57">
        <f>(IF(B81="-",0,B81)*(5+IF(R81=1,1,0)+IF(O81=2,2,0)+IF(Z81=1,2,0)+IF(AB81=1,2,0)))+IF(M81="-",0,M81*10)+IF(N81="-",0,N81*10)</f>
        <v>0</v>
      </c>
      <c r="X81" s="58" t="s">
        <v>29</v>
      </c>
      <c r="Y81" s="45" t="s">
        <v>9</v>
      </c>
      <c r="Z81" s="47" t="s">
        <v>43</v>
      </c>
      <c r="AA81" s="45" t="s">
        <v>137</v>
      </c>
      <c r="AB81" s="47" t="s">
        <v>43</v>
      </c>
    </row>
    <row r="82" spans="1:28" s="45" customFormat="1" ht="15.75" customHeight="1">
      <c r="A82" s="87" t="s">
        <v>117</v>
      </c>
      <c r="B82" s="47" t="s">
        <v>43</v>
      </c>
      <c r="C82" s="48">
        <v>4</v>
      </c>
      <c r="D82" s="48">
        <v>3</v>
      </c>
      <c r="E82" s="48">
        <v>3</v>
      </c>
      <c r="F82" s="48">
        <v>3</v>
      </c>
      <c r="G82" s="48">
        <v>4</v>
      </c>
      <c r="H82" s="48">
        <v>1</v>
      </c>
      <c r="I82" s="48">
        <v>2</v>
      </c>
      <c r="J82" s="48">
        <v>2</v>
      </c>
      <c r="K82" s="49">
        <v>7</v>
      </c>
      <c r="L82" s="84"/>
      <c r="M82" s="51"/>
      <c r="N82" s="48"/>
      <c r="O82" s="48">
        <f>O81</f>
        <v>1</v>
      </c>
      <c r="P82" s="48" t="str">
        <f>P81</f>
        <v>-</v>
      </c>
      <c r="Q82" s="48" t="str">
        <f>Q81</f>
        <v>L</v>
      </c>
      <c r="R82" s="48" t="str">
        <f>R81</f>
        <v>-</v>
      </c>
      <c r="S82" s="53" t="str">
        <f>VLOOKUP(T82,RW,$Z$137,FALSE)</f>
        <v>6+</v>
      </c>
      <c r="T82" s="54">
        <f t="shared" si="3"/>
        <v>1</v>
      </c>
      <c r="U82" s="60"/>
      <c r="V82" s="57"/>
      <c r="W82" s="57">
        <f>IF(B82="-",0,B82)*(15+IF(R82=1,1,0)+IF(O82=2,2,0)+IF(Z81=1,2,0)+IF(AB81=1,2,0))</f>
        <v>0</v>
      </c>
      <c r="X82" s="58" t="s">
        <v>114</v>
      </c>
      <c r="Z82" s="59"/>
      <c r="AA82" s="59"/>
      <c r="AB82" s="59"/>
    </row>
    <row r="83" spans="1:28" s="45" customFormat="1" ht="15.75" customHeight="1">
      <c r="A83" s="87"/>
      <c r="B83" s="48"/>
      <c r="C83" s="48"/>
      <c r="D83" s="48"/>
      <c r="E83" s="48"/>
      <c r="F83" s="48"/>
      <c r="G83" s="48"/>
      <c r="H83" s="48"/>
      <c r="I83" s="48"/>
      <c r="J83" s="48"/>
      <c r="K83" s="49"/>
      <c r="L83" s="84"/>
      <c r="M83" s="51"/>
      <c r="N83" s="48"/>
      <c r="O83" s="48"/>
      <c r="P83" s="48"/>
      <c r="Q83" s="48"/>
      <c r="R83" s="49"/>
      <c r="S83" s="67"/>
      <c r="T83" s="54"/>
      <c r="U83" s="60"/>
      <c r="V83" s="57"/>
      <c r="W83" s="57"/>
      <c r="X83" s="58" t="s">
        <v>105</v>
      </c>
      <c r="Z83" s="59"/>
      <c r="AA83" s="59"/>
      <c r="AB83" s="59"/>
    </row>
    <row r="84" spans="1:28" s="45" customFormat="1" ht="15.75" customHeight="1">
      <c r="A84" s="87"/>
      <c r="B84" s="48"/>
      <c r="C84" s="48"/>
      <c r="D84" s="48"/>
      <c r="E84" s="48"/>
      <c r="F84" s="48"/>
      <c r="G84" s="48"/>
      <c r="H84" s="48"/>
      <c r="I84" s="48"/>
      <c r="J84" s="48"/>
      <c r="K84" s="49"/>
      <c r="L84" s="84"/>
      <c r="M84" s="51"/>
      <c r="N84" s="48"/>
      <c r="O84" s="48"/>
      <c r="P84" s="48"/>
      <c r="Q84" s="48"/>
      <c r="R84" s="49"/>
      <c r="S84" s="67"/>
      <c r="T84" s="54" t="e">
        <f t="shared" si="3"/>
        <v>#N/A</v>
      </c>
      <c r="U84" s="60"/>
      <c r="V84" s="57"/>
      <c r="W84" s="57"/>
      <c r="X84" s="58"/>
      <c r="Z84" s="59"/>
      <c r="AA84" s="59"/>
      <c r="AB84" s="59"/>
    </row>
    <row r="85" spans="1:28" s="45" customFormat="1" ht="15.75" customHeight="1">
      <c r="A85" s="87" t="s">
        <v>80</v>
      </c>
      <c r="B85" s="47" t="s">
        <v>43</v>
      </c>
      <c r="C85" s="48">
        <v>4</v>
      </c>
      <c r="D85" s="48">
        <v>3</v>
      </c>
      <c r="E85" s="48">
        <v>3</v>
      </c>
      <c r="F85" s="48">
        <v>3</v>
      </c>
      <c r="G85" s="48">
        <v>4</v>
      </c>
      <c r="H85" s="48">
        <v>1</v>
      </c>
      <c r="I85" s="48">
        <v>2</v>
      </c>
      <c r="J85" s="48">
        <v>1</v>
      </c>
      <c r="K85" s="49">
        <v>7</v>
      </c>
      <c r="L85" s="84"/>
      <c r="M85" s="88" t="s">
        <v>43</v>
      </c>
      <c r="N85" s="47" t="s">
        <v>43</v>
      </c>
      <c r="O85" s="48">
        <v>1</v>
      </c>
      <c r="P85" s="48" t="s">
        <v>43</v>
      </c>
      <c r="Q85" s="48" t="s">
        <v>28</v>
      </c>
      <c r="R85" s="48" t="s">
        <v>43</v>
      </c>
      <c r="S85" s="53" t="str">
        <f>VLOOKUP(T85,RW,$Z$137,FALSE)</f>
        <v>6+</v>
      </c>
      <c r="T85" s="54">
        <f t="shared" si="3"/>
        <v>1</v>
      </c>
      <c r="U85" s="60"/>
      <c r="V85" s="57"/>
      <c r="W85" s="57">
        <f>(IF(B85="-",0,B85)*(9+IF(AB85=1,2,0)))+IF(M85="-",0,M85*10)+IF(N85="-",0,N85*10)</f>
        <v>0</v>
      </c>
      <c r="X85" s="58" t="s">
        <v>82</v>
      </c>
      <c r="Z85" s="59"/>
      <c r="AA85" s="45" t="s">
        <v>137</v>
      </c>
      <c r="AB85" s="47" t="s">
        <v>43</v>
      </c>
    </row>
    <row r="86" spans="1:28" s="45" customFormat="1" ht="15.75" customHeight="1">
      <c r="A86" s="87" t="s">
        <v>81</v>
      </c>
      <c r="B86" s="47" t="s">
        <v>43</v>
      </c>
      <c r="C86" s="48">
        <v>4</v>
      </c>
      <c r="D86" s="48">
        <v>3</v>
      </c>
      <c r="E86" s="48">
        <v>4</v>
      </c>
      <c r="F86" s="48">
        <v>3</v>
      </c>
      <c r="G86" s="48">
        <v>4</v>
      </c>
      <c r="H86" s="48">
        <v>1</v>
      </c>
      <c r="I86" s="48">
        <v>2</v>
      </c>
      <c r="J86" s="48">
        <v>1</v>
      </c>
      <c r="K86" s="49">
        <v>7</v>
      </c>
      <c r="L86" s="84"/>
      <c r="M86" s="51"/>
      <c r="N86" s="48"/>
      <c r="O86" s="48">
        <f>O85</f>
        <v>1</v>
      </c>
      <c r="P86" s="48" t="str">
        <f>P85</f>
        <v>-</v>
      </c>
      <c r="Q86" s="48" t="str">
        <f>Q85</f>
        <v>L</v>
      </c>
      <c r="R86" s="48" t="str">
        <f>R85</f>
        <v>-</v>
      </c>
      <c r="S86" s="53" t="str">
        <f>VLOOKUP(T86,RW,$Z$137,FALSE)</f>
        <v>6+</v>
      </c>
      <c r="T86" s="54">
        <f t="shared" si="3"/>
        <v>1</v>
      </c>
      <c r="U86" s="60"/>
      <c r="V86" s="57"/>
      <c r="W86" s="57">
        <f>IF(B86="-",0,B86)*(19+IF(AB85=1,2,0))</f>
        <v>0</v>
      </c>
      <c r="X86" s="58" t="s">
        <v>83</v>
      </c>
      <c r="Z86" s="59"/>
      <c r="AA86" s="59"/>
      <c r="AB86" s="59"/>
    </row>
    <row r="87" spans="1:28" s="45" customFormat="1" ht="15.75" customHeight="1">
      <c r="A87" s="87"/>
      <c r="B87" s="48"/>
      <c r="C87" s="48"/>
      <c r="D87" s="48"/>
      <c r="E87" s="48"/>
      <c r="F87" s="48"/>
      <c r="G87" s="48"/>
      <c r="H87" s="48"/>
      <c r="I87" s="48"/>
      <c r="J87" s="48"/>
      <c r="K87" s="49"/>
      <c r="L87" s="84"/>
      <c r="M87" s="51"/>
      <c r="N87" s="48"/>
      <c r="O87" s="48"/>
      <c r="P87" s="48"/>
      <c r="Q87" s="48"/>
      <c r="R87" s="49"/>
      <c r="S87" s="67"/>
      <c r="T87" s="54"/>
      <c r="U87" s="60"/>
      <c r="V87" s="57"/>
      <c r="W87" s="57"/>
      <c r="X87" s="58" t="s">
        <v>105</v>
      </c>
      <c r="Z87" s="59"/>
      <c r="AA87" s="59"/>
      <c r="AB87" s="59"/>
    </row>
    <row r="88" spans="1:28" s="45" customFormat="1" ht="15.75" customHeight="1">
      <c r="A88" s="87"/>
      <c r="B88" s="48"/>
      <c r="C88" s="48"/>
      <c r="D88" s="48"/>
      <c r="E88" s="48"/>
      <c r="F88" s="48"/>
      <c r="G88" s="48"/>
      <c r="H88" s="48"/>
      <c r="I88" s="48"/>
      <c r="J88" s="48"/>
      <c r="K88" s="49"/>
      <c r="L88" s="84"/>
      <c r="M88" s="51"/>
      <c r="N88" s="48"/>
      <c r="O88" s="48"/>
      <c r="P88" s="48"/>
      <c r="Q88" s="48"/>
      <c r="R88" s="49"/>
      <c r="S88" s="67"/>
      <c r="T88" s="54"/>
      <c r="U88" s="60"/>
      <c r="V88" s="57"/>
      <c r="W88" s="57"/>
      <c r="X88" s="58"/>
      <c r="Z88" s="59"/>
      <c r="AA88" s="59"/>
      <c r="AB88" s="59"/>
    </row>
    <row r="89" spans="1:28" s="45" customFormat="1" ht="15.75" customHeight="1">
      <c r="A89" s="103" t="s">
        <v>73</v>
      </c>
      <c r="B89" s="47" t="s">
        <v>43</v>
      </c>
      <c r="C89" s="48">
        <v>4</v>
      </c>
      <c r="D89" s="48">
        <v>2</v>
      </c>
      <c r="E89" s="48">
        <v>3</v>
      </c>
      <c r="F89" s="48">
        <v>3</v>
      </c>
      <c r="G89" s="48">
        <v>3</v>
      </c>
      <c r="H89" s="48">
        <v>1</v>
      </c>
      <c r="I89" s="48">
        <v>2</v>
      </c>
      <c r="J89" s="48">
        <v>1</v>
      </c>
      <c r="K89" s="49">
        <v>6</v>
      </c>
      <c r="L89" s="84"/>
      <c r="M89" s="88" t="s">
        <v>43</v>
      </c>
      <c r="N89" s="47" t="s">
        <v>43</v>
      </c>
      <c r="O89" s="48">
        <v>1</v>
      </c>
      <c r="P89" s="48" t="s">
        <v>43</v>
      </c>
      <c r="Q89" s="47" t="s">
        <v>43</v>
      </c>
      <c r="R89" s="49">
        <v>1</v>
      </c>
      <c r="S89" s="53" t="str">
        <f>VLOOKUP(T89,RW,$Z$137,FALSE)</f>
        <v>6+</v>
      </c>
      <c r="T89" s="54">
        <f>VLOOKUP(Q89,Ruestung,$Z$130,FALSE)+IF(R89=1,1,0)</f>
        <v>1</v>
      </c>
      <c r="U89" s="60"/>
      <c r="V89" s="57"/>
      <c r="W89" s="57">
        <f>(IF(B89="-",0,B89)*(2+IF(Q89="L",1,0)+IF(Z89=1,1,0)))+IF(M89="-",0,M89*10)+IF(N89="-",0,N89*10)</f>
        <v>0</v>
      </c>
      <c r="X89" s="58" t="s">
        <v>8</v>
      </c>
      <c r="Y89" s="45" t="s">
        <v>9</v>
      </c>
      <c r="Z89" s="47" t="s">
        <v>43</v>
      </c>
      <c r="AA89" s="59"/>
      <c r="AB89" s="59"/>
    </row>
    <row r="90" spans="1:28" s="45" customFormat="1" ht="15.75" customHeight="1">
      <c r="A90" s="103" t="s">
        <v>34</v>
      </c>
      <c r="B90" s="47" t="s">
        <v>43</v>
      </c>
      <c r="C90" s="48">
        <v>4</v>
      </c>
      <c r="D90" s="48">
        <v>2</v>
      </c>
      <c r="E90" s="48">
        <v>3</v>
      </c>
      <c r="F90" s="48">
        <v>3</v>
      </c>
      <c r="G90" s="48">
        <v>3</v>
      </c>
      <c r="H90" s="48">
        <v>1</v>
      </c>
      <c r="I90" s="48">
        <v>2</v>
      </c>
      <c r="J90" s="48">
        <v>2</v>
      </c>
      <c r="K90" s="49">
        <v>6</v>
      </c>
      <c r="L90" s="84"/>
      <c r="M90" s="51"/>
      <c r="N90" s="48"/>
      <c r="O90" s="48">
        <f>O89</f>
        <v>1</v>
      </c>
      <c r="P90" s="48" t="str">
        <f>P89</f>
        <v>-</v>
      </c>
      <c r="Q90" s="48" t="str">
        <f>Q89</f>
        <v>-</v>
      </c>
      <c r="R90" s="48">
        <f>R89</f>
        <v>1</v>
      </c>
      <c r="S90" s="53" t="str">
        <f>VLOOKUP(T90,RW,$Z$137,FALSE)</f>
        <v>6+</v>
      </c>
      <c r="T90" s="54">
        <f>VLOOKUP(Q90,Ruestung,$Z$130,FALSE)+IF(R90=1,1,0)</f>
        <v>1</v>
      </c>
      <c r="U90" s="60"/>
      <c r="V90" s="57"/>
      <c r="W90" s="57">
        <f>(IF(B90="-",0,B90)*(12+IF(Q90="L",1,0)+IF(Z89=1,1,0)))</f>
        <v>0</v>
      </c>
      <c r="X90" s="58" t="s">
        <v>114</v>
      </c>
      <c r="Z90" s="59"/>
      <c r="AA90" s="59"/>
      <c r="AB90" s="59"/>
    </row>
    <row r="91" spans="1:28" s="45" customFormat="1" ht="15.75" customHeight="1">
      <c r="A91" s="103"/>
      <c r="B91" s="48"/>
      <c r="C91" s="48"/>
      <c r="D91" s="48"/>
      <c r="E91" s="48"/>
      <c r="F91" s="48"/>
      <c r="G91" s="48"/>
      <c r="H91" s="48"/>
      <c r="I91" s="48"/>
      <c r="J91" s="48"/>
      <c r="K91" s="49"/>
      <c r="L91" s="84"/>
      <c r="M91" s="51"/>
      <c r="N91" s="48"/>
      <c r="O91" s="48"/>
      <c r="P91" s="48"/>
      <c r="Q91" s="48"/>
      <c r="R91" s="49"/>
      <c r="S91" s="53"/>
      <c r="T91" s="54" t="e">
        <f>VLOOKUP(Q91,Ruestung,$Z$130,FALSE)+IF(R91=1,1,0)</f>
        <v>#N/A</v>
      </c>
      <c r="U91" s="60"/>
      <c r="V91" s="57"/>
      <c r="W91" s="57"/>
      <c r="X91" s="58"/>
      <c r="AA91" s="59"/>
      <c r="AB91" s="59"/>
    </row>
    <row r="92" spans="1:28" s="45" customFormat="1" ht="15.75" customHeight="1">
      <c r="A92" s="103" t="s">
        <v>10</v>
      </c>
      <c r="B92" s="47" t="s">
        <v>43</v>
      </c>
      <c r="C92" s="48">
        <v>4</v>
      </c>
      <c r="D92" s="48">
        <v>2</v>
      </c>
      <c r="E92" s="48">
        <v>3</v>
      </c>
      <c r="F92" s="48">
        <v>3</v>
      </c>
      <c r="G92" s="48">
        <v>3</v>
      </c>
      <c r="H92" s="48">
        <v>1</v>
      </c>
      <c r="I92" s="48">
        <v>2</v>
      </c>
      <c r="J92" s="48">
        <v>1</v>
      </c>
      <c r="K92" s="49">
        <v>6</v>
      </c>
      <c r="L92" s="84"/>
      <c r="M92" s="88" t="s">
        <v>43</v>
      </c>
      <c r="N92" s="47" t="s">
        <v>43</v>
      </c>
      <c r="O92" s="48">
        <v>1</v>
      </c>
      <c r="P92" s="48" t="s">
        <v>43</v>
      </c>
      <c r="Q92" s="47" t="s">
        <v>43</v>
      </c>
      <c r="R92" s="48" t="s">
        <v>43</v>
      </c>
      <c r="S92" s="53" t="str">
        <f>VLOOKUP(T92,RW,$Z$137,FALSE)</f>
        <v>-</v>
      </c>
      <c r="T92" s="54">
        <f>VLOOKUP(Q92,Ruestung,$Z$130,FALSE)+IF(R92=1,1,0)</f>
        <v>0</v>
      </c>
      <c r="U92" s="60"/>
      <c r="V92" s="57"/>
      <c r="W92" s="57">
        <f>(IF(B92="-",0,B92)*(3+IF(Q92="L",1,0)))+IF(M92="-",0,M92*10)+IF(N92="-",0,N92*10)</f>
        <v>0</v>
      </c>
      <c r="X92" s="58" t="s">
        <v>58</v>
      </c>
      <c r="Z92" s="59"/>
      <c r="AA92" s="59"/>
      <c r="AB92" s="59"/>
    </row>
    <row r="93" spans="1:28" s="45" customFormat="1" ht="15.75" customHeight="1">
      <c r="A93" s="103" t="s">
        <v>34</v>
      </c>
      <c r="B93" s="47" t="s">
        <v>43</v>
      </c>
      <c r="C93" s="48">
        <v>4</v>
      </c>
      <c r="D93" s="48">
        <v>2</v>
      </c>
      <c r="E93" s="48">
        <v>4</v>
      </c>
      <c r="F93" s="48">
        <v>3</v>
      </c>
      <c r="G93" s="48">
        <v>3</v>
      </c>
      <c r="H93" s="48">
        <v>1</v>
      </c>
      <c r="I93" s="48">
        <v>2</v>
      </c>
      <c r="J93" s="48">
        <v>1</v>
      </c>
      <c r="K93" s="49">
        <v>6</v>
      </c>
      <c r="L93" s="84"/>
      <c r="M93" s="51"/>
      <c r="N93" s="48"/>
      <c r="O93" s="48">
        <f>O92</f>
        <v>1</v>
      </c>
      <c r="P93" s="48" t="str">
        <f>P92</f>
        <v>-</v>
      </c>
      <c r="Q93" s="48" t="str">
        <f>Q92</f>
        <v>-</v>
      </c>
      <c r="R93" s="48" t="str">
        <f>R92</f>
        <v>-</v>
      </c>
      <c r="S93" s="53" t="str">
        <f>VLOOKUP(T93,RW,$Z$137,FALSE)</f>
        <v>-</v>
      </c>
      <c r="T93" s="54">
        <f>VLOOKUP(Q93,Ruestung,$Z$130,FALSE)+IF(R93=1,1,0)</f>
        <v>0</v>
      </c>
      <c r="U93" s="60"/>
      <c r="V93" s="57"/>
      <c r="W93" s="57">
        <f>(IF(B93="-",0,B93)*(13+IF(Q93="L",1,0)))</f>
        <v>0</v>
      </c>
      <c r="X93" s="58" t="s">
        <v>19</v>
      </c>
      <c r="Z93" s="59"/>
      <c r="AA93" s="59"/>
      <c r="AB93" s="59"/>
    </row>
    <row r="94" spans="1:24" s="45" customFormat="1" ht="15.75" customHeight="1">
      <c r="A94" s="103"/>
      <c r="B94" s="48"/>
      <c r="C94" s="48"/>
      <c r="D94" s="48"/>
      <c r="E94" s="48"/>
      <c r="F94" s="48"/>
      <c r="G94" s="48"/>
      <c r="H94" s="48"/>
      <c r="I94" s="48"/>
      <c r="J94" s="48"/>
      <c r="K94" s="49"/>
      <c r="L94" s="84"/>
      <c r="M94" s="51"/>
      <c r="N94" s="48"/>
      <c r="O94" s="48"/>
      <c r="P94" s="48"/>
      <c r="Q94" s="48"/>
      <c r="R94" s="49"/>
      <c r="S94" s="53"/>
      <c r="T94" s="54"/>
      <c r="U94" s="60"/>
      <c r="V94" s="57"/>
      <c r="W94" s="57"/>
      <c r="X94" s="58"/>
    </row>
    <row r="95" spans="1:28" s="45" customFormat="1" ht="15.75" customHeight="1">
      <c r="A95" s="103" t="s">
        <v>74</v>
      </c>
      <c r="B95" s="47" t="s">
        <v>43</v>
      </c>
      <c r="C95" s="48">
        <v>4</v>
      </c>
      <c r="D95" s="48">
        <v>4</v>
      </c>
      <c r="E95" s="48">
        <v>3</v>
      </c>
      <c r="F95" s="48">
        <v>4</v>
      </c>
      <c r="G95" s="48">
        <v>4</v>
      </c>
      <c r="H95" s="48">
        <v>1</v>
      </c>
      <c r="I95" s="48">
        <v>2</v>
      </c>
      <c r="J95" s="48">
        <v>1</v>
      </c>
      <c r="K95" s="49">
        <v>8</v>
      </c>
      <c r="L95" s="84"/>
      <c r="M95" s="88" t="s">
        <v>43</v>
      </c>
      <c r="N95" s="47" t="s">
        <v>43</v>
      </c>
      <c r="O95" s="47">
        <v>1</v>
      </c>
      <c r="P95" s="47" t="s">
        <v>43</v>
      </c>
      <c r="Q95" s="48" t="s">
        <v>155</v>
      </c>
      <c r="R95" s="52" t="s">
        <v>43</v>
      </c>
      <c r="S95" s="53" t="str">
        <f>VLOOKUP(T95,RW,$Z$137,FALSE)</f>
        <v>5+</v>
      </c>
      <c r="T95" s="54">
        <f>VLOOKUP(Q95,Ruestung,$Z$130,FALSE)+IF(R95=1,1,0)</f>
        <v>2</v>
      </c>
      <c r="U95" s="60"/>
      <c r="V95" s="56" t="s">
        <v>43</v>
      </c>
      <c r="W95" s="57">
        <f>(IF(B95="-",0,B95)*(10+IF(P95=1,2,0)+IF(O95=2,2,0)+IF(R95=1,1,0)+IF(Z95=1,2,0)+IF(AB95=1,2,0)))+IF(M95="-",0,M95*10)+IF(N95="-",0,N95*10)+IF(V95="-",0,V95)</f>
        <v>0</v>
      </c>
      <c r="X95" s="58" t="s">
        <v>38</v>
      </c>
      <c r="Y95" s="45" t="s">
        <v>9</v>
      </c>
      <c r="Z95" s="47" t="s">
        <v>43</v>
      </c>
      <c r="AA95" s="45" t="s">
        <v>137</v>
      </c>
      <c r="AB95" s="47" t="s">
        <v>43</v>
      </c>
    </row>
    <row r="96" spans="1:24" s="45" customFormat="1" ht="15.75" customHeight="1">
      <c r="A96" s="103" t="s">
        <v>116</v>
      </c>
      <c r="B96" s="47" t="s">
        <v>43</v>
      </c>
      <c r="C96" s="48">
        <v>4</v>
      </c>
      <c r="D96" s="48">
        <v>4</v>
      </c>
      <c r="E96" s="48">
        <v>3</v>
      </c>
      <c r="F96" s="48">
        <v>4</v>
      </c>
      <c r="G96" s="48">
        <v>4</v>
      </c>
      <c r="H96" s="48">
        <v>1</v>
      </c>
      <c r="I96" s="48">
        <v>2</v>
      </c>
      <c r="J96" s="48">
        <v>2</v>
      </c>
      <c r="K96" s="49">
        <v>8</v>
      </c>
      <c r="L96" s="84"/>
      <c r="M96" s="51"/>
      <c r="N96" s="48"/>
      <c r="O96" s="48">
        <f>O95</f>
        <v>1</v>
      </c>
      <c r="P96" s="48" t="str">
        <f>P95</f>
        <v>-</v>
      </c>
      <c r="Q96" s="48" t="str">
        <f>Q95</f>
        <v>S</v>
      </c>
      <c r="R96" s="48" t="str">
        <f>R95</f>
        <v>-</v>
      </c>
      <c r="S96" s="53" t="str">
        <f>VLOOKUP(T96,RW,$Z$137,FALSE)</f>
        <v>5+</v>
      </c>
      <c r="T96" s="54">
        <f>VLOOKUP(Q96,Ruestung,$Z$130,FALSE)+IF(R96=1,1,0)</f>
        <v>2</v>
      </c>
      <c r="U96" s="60"/>
      <c r="V96" s="57"/>
      <c r="W96" s="57">
        <f>IF(B96="-",0,B96)*(20+IF(P96=1,2,0)+IF(O96=2,2,0)+IF(R96=1,1,0)+IF(Z95=1,2,0)+IF(AB95=1,2,0))</f>
        <v>0</v>
      </c>
      <c r="X96" s="58" t="s">
        <v>114</v>
      </c>
    </row>
    <row r="97" spans="1:24" s="45" customFormat="1" ht="15.75" customHeight="1">
      <c r="A97" s="87"/>
      <c r="B97" s="68"/>
      <c r="C97" s="48"/>
      <c r="D97" s="48"/>
      <c r="E97" s="48"/>
      <c r="F97" s="48"/>
      <c r="G97" s="48"/>
      <c r="H97" s="48"/>
      <c r="I97" s="48"/>
      <c r="J97" s="48"/>
      <c r="K97" s="49"/>
      <c r="L97" s="84"/>
      <c r="M97" s="51"/>
      <c r="N97" s="48"/>
      <c r="O97" s="48"/>
      <c r="P97" s="48"/>
      <c r="Q97" s="48"/>
      <c r="R97" s="49"/>
      <c r="S97" s="53"/>
      <c r="T97" s="54" t="e">
        <f>VLOOKUP(Q97,Ruestung,$Z$130,FALSE)+IF(R97=1,1,0)</f>
        <v>#N/A</v>
      </c>
      <c r="U97" s="60"/>
      <c r="V97" s="57"/>
      <c r="W97" s="57"/>
      <c r="X97" s="58" t="s">
        <v>105</v>
      </c>
    </row>
    <row r="98" spans="1:24" s="45" customFormat="1" ht="15.75" customHeight="1">
      <c r="A98" s="87"/>
      <c r="B98" s="68"/>
      <c r="C98" s="48"/>
      <c r="D98" s="48"/>
      <c r="E98" s="48"/>
      <c r="F98" s="48"/>
      <c r="G98" s="48"/>
      <c r="H98" s="48"/>
      <c r="I98" s="48"/>
      <c r="J98" s="48"/>
      <c r="K98" s="49"/>
      <c r="L98" s="84"/>
      <c r="M98" s="51"/>
      <c r="N98" s="48"/>
      <c r="O98" s="48"/>
      <c r="P98" s="48"/>
      <c r="Q98" s="48"/>
      <c r="R98" s="49"/>
      <c r="S98" s="53"/>
      <c r="T98" s="54"/>
      <c r="U98" s="60"/>
      <c r="V98" s="57"/>
      <c r="W98" s="57"/>
      <c r="X98" s="58"/>
    </row>
    <row r="99" spans="1:24" s="45" customFormat="1" ht="15.75" customHeight="1">
      <c r="A99" s="87" t="s">
        <v>75</v>
      </c>
      <c r="B99" s="47" t="s">
        <v>43</v>
      </c>
      <c r="C99" s="48">
        <v>4</v>
      </c>
      <c r="D99" s="48">
        <v>3</v>
      </c>
      <c r="E99" s="48">
        <v>3</v>
      </c>
      <c r="F99" s="48">
        <v>3</v>
      </c>
      <c r="G99" s="48">
        <v>3</v>
      </c>
      <c r="H99" s="48">
        <v>1</v>
      </c>
      <c r="I99" s="48">
        <v>2</v>
      </c>
      <c r="J99" s="48">
        <v>1</v>
      </c>
      <c r="K99" s="49">
        <v>6</v>
      </c>
      <c r="L99" s="84"/>
      <c r="M99" s="88" t="s">
        <v>43</v>
      </c>
      <c r="N99" s="47" t="s">
        <v>43</v>
      </c>
      <c r="O99" s="48">
        <v>2</v>
      </c>
      <c r="P99" s="48" t="s">
        <v>43</v>
      </c>
      <c r="Q99" s="48" t="s">
        <v>43</v>
      </c>
      <c r="R99" s="48" t="s">
        <v>43</v>
      </c>
      <c r="S99" s="53" t="str">
        <f>VLOOKUP(T99,RW,$Z$137,FALSE)</f>
        <v>-</v>
      </c>
      <c r="T99" s="54">
        <f aca="true" t="shared" si="4" ref="T99:T107">VLOOKUP(Q99,Ruestung,$Z$130,FALSE)+IF(R99=1,1,0)</f>
        <v>0</v>
      </c>
      <c r="U99" s="60"/>
      <c r="V99" s="57"/>
      <c r="W99" s="57">
        <f>(IF(B99="-",0,B99)*(5))+IF(M99="-",0,M99*10)+IF(N99="-",0,N99*10)</f>
        <v>0</v>
      </c>
      <c r="X99" s="69" t="s">
        <v>1</v>
      </c>
    </row>
    <row r="100" spans="1:24" s="45" customFormat="1" ht="15.75" customHeight="1">
      <c r="A100" s="87" t="s">
        <v>167</v>
      </c>
      <c r="B100" s="47" t="s">
        <v>43</v>
      </c>
      <c r="C100" s="48">
        <v>4</v>
      </c>
      <c r="D100" s="48">
        <v>3</v>
      </c>
      <c r="E100" s="48">
        <v>3</v>
      </c>
      <c r="F100" s="48">
        <v>3</v>
      </c>
      <c r="G100" s="48">
        <v>3</v>
      </c>
      <c r="H100" s="48">
        <v>1</v>
      </c>
      <c r="I100" s="48">
        <v>2</v>
      </c>
      <c r="J100" s="48">
        <v>2</v>
      </c>
      <c r="K100" s="49">
        <v>6</v>
      </c>
      <c r="L100" s="84"/>
      <c r="M100" s="51"/>
      <c r="N100" s="48"/>
      <c r="O100" s="48">
        <v>2</v>
      </c>
      <c r="P100" s="48" t="s">
        <v>43</v>
      </c>
      <c r="Q100" s="48" t="str">
        <f>Q99</f>
        <v>-</v>
      </c>
      <c r="R100" s="86" t="str">
        <f>R99</f>
        <v>-</v>
      </c>
      <c r="S100" s="53" t="str">
        <f>VLOOKUP(T100,RW,$Z$137,FALSE)</f>
        <v>-</v>
      </c>
      <c r="T100" s="54">
        <f t="shared" si="4"/>
        <v>0</v>
      </c>
      <c r="U100" s="60"/>
      <c r="V100" s="57"/>
      <c r="W100" s="72">
        <f>IF(B100="-",0,B100)*15</f>
        <v>0</v>
      </c>
      <c r="X100" s="104" t="s">
        <v>147</v>
      </c>
    </row>
    <row r="101" spans="1:24" s="45" customFormat="1" ht="15.75" customHeight="1">
      <c r="A101" s="87"/>
      <c r="B101" s="68"/>
      <c r="C101" s="48"/>
      <c r="D101" s="48"/>
      <c r="E101" s="48"/>
      <c r="F101" s="48"/>
      <c r="G101" s="48"/>
      <c r="H101" s="48"/>
      <c r="I101" s="48"/>
      <c r="J101" s="48"/>
      <c r="K101" s="49"/>
      <c r="L101" s="84"/>
      <c r="M101" s="51"/>
      <c r="N101" s="48"/>
      <c r="O101" s="48"/>
      <c r="P101" s="48"/>
      <c r="Q101" s="48"/>
      <c r="R101" s="49"/>
      <c r="S101" s="53"/>
      <c r="T101" s="54" t="e">
        <f t="shared" si="4"/>
        <v>#N/A</v>
      </c>
      <c r="U101" s="60"/>
      <c r="V101" s="57"/>
      <c r="W101" s="57"/>
      <c r="X101" s="58"/>
    </row>
    <row r="102" spans="1:24" s="45" customFormat="1" ht="25.5" customHeight="1">
      <c r="A102" s="75" t="s">
        <v>42</v>
      </c>
      <c r="B102" s="76" t="s">
        <v>15</v>
      </c>
      <c r="C102" s="77" t="s">
        <v>101</v>
      </c>
      <c r="D102" s="77" t="s">
        <v>62</v>
      </c>
      <c r="E102" s="77" t="s">
        <v>63</v>
      </c>
      <c r="F102" s="77" t="s">
        <v>155</v>
      </c>
      <c r="G102" s="77" t="s">
        <v>13</v>
      </c>
      <c r="H102" s="77" t="s">
        <v>64</v>
      </c>
      <c r="I102" s="77" t="s">
        <v>65</v>
      </c>
      <c r="J102" s="77" t="s">
        <v>66</v>
      </c>
      <c r="K102" s="77" t="s">
        <v>67</v>
      </c>
      <c r="L102" s="78"/>
      <c r="M102" s="132" t="s">
        <v>100</v>
      </c>
      <c r="N102" s="133"/>
      <c r="O102" s="77" t="s">
        <v>174</v>
      </c>
      <c r="P102" s="77" t="s">
        <v>175</v>
      </c>
      <c r="Q102" s="77" t="s">
        <v>176</v>
      </c>
      <c r="R102" s="77" t="s">
        <v>178</v>
      </c>
      <c r="S102" s="79" t="s">
        <v>68</v>
      </c>
      <c r="T102" s="54" t="e">
        <f t="shared" si="4"/>
        <v>#N/A</v>
      </c>
      <c r="U102" s="80" t="s">
        <v>177</v>
      </c>
      <c r="V102" s="81" t="s">
        <v>40</v>
      </c>
      <c r="W102" s="82" t="s">
        <v>153</v>
      </c>
      <c r="X102" s="80" t="s">
        <v>149</v>
      </c>
    </row>
    <row r="103" spans="1:30" s="45" customFormat="1" ht="15.75" customHeight="1">
      <c r="A103" s="87" t="s">
        <v>90</v>
      </c>
      <c r="B103" s="47" t="s">
        <v>43</v>
      </c>
      <c r="C103" s="48">
        <v>4</v>
      </c>
      <c r="D103" s="48" t="s">
        <v>43</v>
      </c>
      <c r="E103" s="48" t="s">
        <v>43</v>
      </c>
      <c r="F103" s="48" t="s">
        <v>43</v>
      </c>
      <c r="G103" s="48">
        <v>7</v>
      </c>
      <c r="H103" s="48">
        <v>3</v>
      </c>
      <c r="I103" s="48" t="s">
        <v>43</v>
      </c>
      <c r="J103" s="48" t="s">
        <v>43</v>
      </c>
      <c r="K103" s="49" t="s">
        <v>43</v>
      </c>
      <c r="L103" s="50"/>
      <c r="M103" s="139">
        <v>48</v>
      </c>
      <c r="N103" s="140"/>
      <c r="O103" s="48"/>
      <c r="P103" s="48"/>
      <c r="Q103" s="48"/>
      <c r="R103" s="49"/>
      <c r="S103" s="53"/>
      <c r="T103" s="54" t="e">
        <f t="shared" si="4"/>
        <v>#N/A</v>
      </c>
      <c r="U103" s="60"/>
      <c r="V103" s="57"/>
      <c r="W103" s="57">
        <f>IF(B103="-",0,B103)*30</f>
        <v>0</v>
      </c>
      <c r="X103" s="58" t="s">
        <v>171</v>
      </c>
      <c r="Z103" s="59"/>
      <c r="AA103" s="59"/>
      <c r="AB103" s="59"/>
      <c r="AC103" s="59"/>
      <c r="AD103" s="59"/>
    </row>
    <row r="104" spans="1:30" s="45" customFormat="1" ht="15.75" customHeight="1">
      <c r="A104" s="87" t="s">
        <v>154</v>
      </c>
      <c r="B104" s="68" t="str">
        <f>IF(B103="-","-",B103*2)</f>
        <v>-</v>
      </c>
      <c r="C104" s="48">
        <v>4</v>
      </c>
      <c r="D104" s="48">
        <v>3</v>
      </c>
      <c r="E104" s="48">
        <v>3</v>
      </c>
      <c r="F104" s="48">
        <v>3</v>
      </c>
      <c r="G104" s="48">
        <v>3</v>
      </c>
      <c r="H104" s="48">
        <v>1</v>
      </c>
      <c r="I104" s="48">
        <v>2</v>
      </c>
      <c r="J104" s="48">
        <v>1</v>
      </c>
      <c r="K104" s="49">
        <v>6</v>
      </c>
      <c r="L104" s="50"/>
      <c r="M104" s="51"/>
      <c r="N104" s="48"/>
      <c r="O104" s="48">
        <v>1</v>
      </c>
      <c r="P104" s="48" t="s">
        <v>43</v>
      </c>
      <c r="Q104" s="48" t="s">
        <v>43</v>
      </c>
      <c r="R104" s="49" t="s">
        <v>43</v>
      </c>
      <c r="S104" s="53" t="str">
        <f>VLOOKUP(T104,RW,$Z$137,FALSE)</f>
        <v>-</v>
      </c>
      <c r="T104" s="54">
        <f t="shared" si="4"/>
        <v>0</v>
      </c>
      <c r="U104" s="60"/>
      <c r="V104" s="57"/>
      <c r="W104" s="57"/>
      <c r="X104" s="58" t="s">
        <v>11</v>
      </c>
      <c r="Z104" s="59"/>
      <c r="AA104" s="59"/>
      <c r="AB104" s="59"/>
      <c r="AC104" s="59"/>
      <c r="AD104" s="59"/>
    </row>
    <row r="105" spans="1:30" s="45" customFormat="1" ht="15.75" customHeight="1">
      <c r="A105" s="87"/>
      <c r="B105" s="48"/>
      <c r="C105" s="48"/>
      <c r="D105" s="48"/>
      <c r="E105" s="48"/>
      <c r="F105" s="48"/>
      <c r="G105" s="48"/>
      <c r="H105" s="48"/>
      <c r="I105" s="48"/>
      <c r="J105" s="48"/>
      <c r="K105" s="49"/>
      <c r="L105" s="50"/>
      <c r="M105" s="51"/>
      <c r="N105" s="48"/>
      <c r="O105" s="48"/>
      <c r="P105" s="48"/>
      <c r="Q105" s="48"/>
      <c r="R105" s="49"/>
      <c r="S105" s="53"/>
      <c r="T105" s="54" t="e">
        <f t="shared" si="4"/>
        <v>#N/A</v>
      </c>
      <c r="U105" s="60"/>
      <c r="V105" s="57"/>
      <c r="W105" s="57"/>
      <c r="X105" s="58"/>
      <c r="Z105" s="59"/>
      <c r="AA105" s="59"/>
      <c r="AB105" s="59"/>
      <c r="AC105" s="59"/>
      <c r="AD105" s="59"/>
    </row>
    <row r="106" spans="1:30" s="45" customFormat="1" ht="15.75" customHeight="1">
      <c r="A106" s="87" t="s">
        <v>76</v>
      </c>
      <c r="B106" s="47" t="s">
        <v>43</v>
      </c>
      <c r="C106" s="48">
        <v>3</v>
      </c>
      <c r="D106" s="48" t="s">
        <v>43</v>
      </c>
      <c r="E106" s="48" t="s">
        <v>43</v>
      </c>
      <c r="F106" s="105" t="s">
        <v>61</v>
      </c>
      <c r="G106" s="48">
        <v>7</v>
      </c>
      <c r="H106" s="48">
        <v>3</v>
      </c>
      <c r="I106" s="48" t="s">
        <v>43</v>
      </c>
      <c r="J106" s="48" t="s">
        <v>43</v>
      </c>
      <c r="K106" s="49" t="s">
        <v>43</v>
      </c>
      <c r="L106" s="50"/>
      <c r="M106" s="139">
        <v>48</v>
      </c>
      <c r="N106" s="140"/>
      <c r="O106" s="48"/>
      <c r="P106" s="48"/>
      <c r="Q106" s="48"/>
      <c r="R106" s="49"/>
      <c r="S106" s="53"/>
      <c r="T106" s="54" t="e">
        <f t="shared" si="4"/>
        <v>#N/A</v>
      </c>
      <c r="U106" s="60"/>
      <c r="V106" s="57"/>
      <c r="W106" s="57">
        <f>IF(B106="-",0,B106)*80</f>
        <v>0</v>
      </c>
      <c r="X106" s="58" t="s">
        <v>18</v>
      </c>
      <c r="Z106" s="59"/>
      <c r="AA106" s="59"/>
      <c r="AB106" s="59"/>
      <c r="AC106" s="59"/>
      <c r="AD106" s="59"/>
    </row>
    <row r="107" spans="1:30" s="45" customFormat="1" ht="15.75" customHeight="1">
      <c r="A107" s="87" t="s">
        <v>154</v>
      </c>
      <c r="B107" s="68" t="str">
        <f>IF(B106="-","-",B106*2)</f>
        <v>-</v>
      </c>
      <c r="C107" s="48">
        <v>3</v>
      </c>
      <c r="D107" s="48">
        <v>4</v>
      </c>
      <c r="E107" s="48">
        <v>3</v>
      </c>
      <c r="F107" s="48">
        <v>3</v>
      </c>
      <c r="G107" s="48">
        <v>4</v>
      </c>
      <c r="H107" s="48">
        <v>1</v>
      </c>
      <c r="I107" s="48">
        <v>2</v>
      </c>
      <c r="J107" s="48">
        <v>1</v>
      </c>
      <c r="K107" s="49">
        <v>9</v>
      </c>
      <c r="L107" s="50"/>
      <c r="M107" s="51"/>
      <c r="N107" s="48"/>
      <c r="O107" s="48">
        <v>1</v>
      </c>
      <c r="P107" s="48" t="s">
        <v>43</v>
      </c>
      <c r="Q107" s="48" t="s">
        <v>155</v>
      </c>
      <c r="R107" s="49" t="s">
        <v>43</v>
      </c>
      <c r="S107" s="53" t="str">
        <f>VLOOKUP(T107,RW,$Z$137,FALSE)</f>
        <v>5+</v>
      </c>
      <c r="T107" s="54">
        <f t="shared" si="4"/>
        <v>2</v>
      </c>
      <c r="U107" s="60"/>
      <c r="V107" s="57"/>
      <c r="W107" s="57"/>
      <c r="X107" s="58" t="s">
        <v>17</v>
      </c>
      <c r="Z107" s="59"/>
      <c r="AA107" s="59"/>
      <c r="AB107" s="59"/>
      <c r="AC107" s="59"/>
      <c r="AD107" s="59"/>
    </row>
    <row r="108" spans="1:30" s="45" customFormat="1" ht="15.75" customHeight="1">
      <c r="A108" s="87"/>
      <c r="B108" s="68"/>
      <c r="C108" s="48"/>
      <c r="D108" s="48"/>
      <c r="E108" s="48"/>
      <c r="F108" s="48"/>
      <c r="G108" s="48"/>
      <c r="H108" s="48"/>
      <c r="I108" s="48"/>
      <c r="J108" s="48"/>
      <c r="K108" s="49"/>
      <c r="L108" s="50"/>
      <c r="M108" s="51"/>
      <c r="N108" s="48"/>
      <c r="O108" s="48"/>
      <c r="P108" s="48"/>
      <c r="Q108" s="48"/>
      <c r="R108" s="49"/>
      <c r="S108" s="53"/>
      <c r="T108" s="54"/>
      <c r="U108" s="60"/>
      <c r="V108" s="57"/>
      <c r="W108" s="57"/>
      <c r="X108" s="58" t="s">
        <v>30</v>
      </c>
      <c r="Z108" s="59"/>
      <c r="AA108" s="59"/>
      <c r="AB108" s="59"/>
      <c r="AC108" s="59"/>
      <c r="AD108" s="59"/>
    </row>
    <row r="109" spans="1:30" s="45" customFormat="1" ht="15.75" customHeight="1">
      <c r="A109" s="87"/>
      <c r="B109" s="68"/>
      <c r="C109" s="48"/>
      <c r="D109" s="48"/>
      <c r="E109" s="48"/>
      <c r="F109" s="48"/>
      <c r="G109" s="48"/>
      <c r="H109" s="48"/>
      <c r="I109" s="48"/>
      <c r="J109" s="48"/>
      <c r="K109" s="49"/>
      <c r="L109" s="50"/>
      <c r="M109" s="51"/>
      <c r="N109" s="48"/>
      <c r="O109" s="48"/>
      <c r="P109" s="48"/>
      <c r="Q109" s="48"/>
      <c r="R109" s="49"/>
      <c r="S109" s="53"/>
      <c r="T109" s="54" t="e">
        <f aca="true" t="shared" si="5" ref="T109:T117">VLOOKUP(Q109,Ruestung,$Z$130,FALSE)+IF(R109=1,1,0)</f>
        <v>#N/A</v>
      </c>
      <c r="U109" s="60"/>
      <c r="V109" s="57"/>
      <c r="W109" s="57"/>
      <c r="X109" s="58"/>
      <c r="Z109" s="59"/>
      <c r="AA109" s="59"/>
      <c r="AB109" s="59"/>
      <c r="AC109" s="59"/>
      <c r="AD109" s="59"/>
    </row>
    <row r="110" spans="1:24" s="45" customFormat="1" ht="25.5" customHeight="1">
      <c r="A110" s="106" t="s">
        <v>45</v>
      </c>
      <c r="B110" s="76" t="s">
        <v>15</v>
      </c>
      <c r="C110" s="77" t="s">
        <v>101</v>
      </c>
      <c r="D110" s="77" t="s">
        <v>62</v>
      </c>
      <c r="E110" s="77" t="s">
        <v>63</v>
      </c>
      <c r="F110" s="77" t="s">
        <v>155</v>
      </c>
      <c r="G110" s="77" t="s">
        <v>13</v>
      </c>
      <c r="H110" s="77" t="s">
        <v>64</v>
      </c>
      <c r="I110" s="77" t="s">
        <v>65</v>
      </c>
      <c r="J110" s="77" t="s">
        <v>66</v>
      </c>
      <c r="K110" s="77" t="s">
        <v>67</v>
      </c>
      <c r="L110" s="78"/>
      <c r="M110" s="77" t="s">
        <v>135</v>
      </c>
      <c r="N110" s="77" t="s">
        <v>136</v>
      </c>
      <c r="O110" s="77" t="s">
        <v>174</v>
      </c>
      <c r="P110" s="77" t="s">
        <v>175</v>
      </c>
      <c r="Q110" s="77" t="s">
        <v>176</v>
      </c>
      <c r="R110" s="77" t="s">
        <v>178</v>
      </c>
      <c r="S110" s="79" t="s">
        <v>68</v>
      </c>
      <c r="T110" s="54" t="e">
        <f t="shared" si="5"/>
        <v>#N/A</v>
      </c>
      <c r="U110" s="80" t="s">
        <v>177</v>
      </c>
      <c r="V110" s="81" t="s">
        <v>40</v>
      </c>
      <c r="W110" s="82" t="s">
        <v>153</v>
      </c>
      <c r="X110" s="80" t="s">
        <v>149</v>
      </c>
    </row>
    <row r="111" spans="1:24" s="45" customFormat="1" ht="15.75" customHeight="1">
      <c r="A111" s="87" t="s">
        <v>146</v>
      </c>
      <c r="B111" s="47" t="s">
        <v>43</v>
      </c>
      <c r="C111" s="48">
        <v>8</v>
      </c>
      <c r="D111" s="48">
        <v>4</v>
      </c>
      <c r="E111" s="48">
        <v>3</v>
      </c>
      <c r="F111" s="48">
        <v>4</v>
      </c>
      <c r="G111" s="48">
        <v>4</v>
      </c>
      <c r="H111" s="48">
        <v>1</v>
      </c>
      <c r="I111" s="48">
        <v>3</v>
      </c>
      <c r="J111" s="48">
        <v>2</v>
      </c>
      <c r="K111" s="49">
        <v>9</v>
      </c>
      <c r="L111" s="84"/>
      <c r="M111" s="88" t="s">
        <v>43</v>
      </c>
      <c r="N111" s="47" t="s">
        <v>43</v>
      </c>
      <c r="O111" s="47">
        <v>1</v>
      </c>
      <c r="P111" s="47">
        <v>1</v>
      </c>
      <c r="Q111" s="47" t="s">
        <v>28</v>
      </c>
      <c r="R111" s="49">
        <v>1</v>
      </c>
      <c r="S111" s="53" t="str">
        <f>VLOOKUP(T111,RWKavallerie,$Z$137,FALSE)</f>
        <v>4+</v>
      </c>
      <c r="T111" s="54">
        <f>VLOOKUP(Q111,RuestungKaval,$Z$130,FALSE)+IF(R111=1,1,0)</f>
        <v>3</v>
      </c>
      <c r="U111" s="60"/>
      <c r="V111" s="56" t="s">
        <v>43</v>
      </c>
      <c r="W111" s="57">
        <f>(IF(B111="-",0,B111)*(20+IF(Q111="S",1,0)))+IF(M111="-",0,M111*15)+IF(N111="-",0,N111*15)</f>
        <v>0</v>
      </c>
      <c r="X111" s="58" t="s">
        <v>59</v>
      </c>
    </row>
    <row r="112" spans="1:24" s="45" customFormat="1" ht="15.75" customHeight="1">
      <c r="A112" s="87" t="s">
        <v>168</v>
      </c>
      <c r="B112" s="47" t="s">
        <v>43</v>
      </c>
      <c r="C112" s="48">
        <v>8</v>
      </c>
      <c r="D112" s="48">
        <v>4</v>
      </c>
      <c r="E112" s="48">
        <v>3</v>
      </c>
      <c r="F112" s="48">
        <v>4</v>
      </c>
      <c r="G112" s="48">
        <v>4</v>
      </c>
      <c r="H112" s="48">
        <v>1</v>
      </c>
      <c r="I112" s="48">
        <v>3</v>
      </c>
      <c r="J112" s="48">
        <v>3</v>
      </c>
      <c r="K112" s="49">
        <v>9</v>
      </c>
      <c r="L112" s="84"/>
      <c r="M112" s="51"/>
      <c r="N112" s="48"/>
      <c r="O112" s="48">
        <f>O111</f>
        <v>1</v>
      </c>
      <c r="P112" s="48">
        <f>P111</f>
        <v>1</v>
      </c>
      <c r="Q112" s="48" t="str">
        <f>Q111</f>
        <v>L</v>
      </c>
      <c r="R112" s="49">
        <v>1</v>
      </c>
      <c r="S112" s="53" t="str">
        <f>VLOOKUP(T112,RWKavallerie,$Z$137,FALSE)</f>
        <v>4+</v>
      </c>
      <c r="T112" s="54">
        <f>VLOOKUP(Q112,RuestungKaval,$Z$130,FALSE)+IF(R112=1,1,0)</f>
        <v>3</v>
      </c>
      <c r="U112" s="60"/>
      <c r="V112" s="57"/>
      <c r="W112" s="57">
        <f>IF(B112="-",0,B112)*(35+IF(Q111="S",1,0))</f>
        <v>0</v>
      </c>
      <c r="X112" s="58" t="s">
        <v>59</v>
      </c>
    </row>
    <row r="113" spans="1:24" s="45" customFormat="1" ht="15.75" customHeight="1">
      <c r="A113" s="87"/>
      <c r="B113" s="48"/>
      <c r="C113" s="48"/>
      <c r="D113" s="48"/>
      <c r="E113" s="48"/>
      <c r="F113" s="48"/>
      <c r="G113" s="48"/>
      <c r="H113" s="48"/>
      <c r="I113" s="48"/>
      <c r="J113" s="48"/>
      <c r="K113" s="49"/>
      <c r="L113" s="84"/>
      <c r="M113" s="51"/>
      <c r="N113" s="48"/>
      <c r="O113" s="48"/>
      <c r="P113" s="48"/>
      <c r="Q113" s="48"/>
      <c r="R113" s="49"/>
      <c r="S113" s="53"/>
      <c r="T113" s="54" t="e">
        <f t="shared" si="5"/>
        <v>#N/A</v>
      </c>
      <c r="U113" s="60"/>
      <c r="V113" s="57"/>
      <c r="W113" s="57"/>
      <c r="X113" s="58"/>
    </row>
    <row r="114" spans="1:24" s="45" customFormat="1" ht="25.5" customHeight="1">
      <c r="A114" s="106" t="s">
        <v>99</v>
      </c>
      <c r="B114" s="76" t="s">
        <v>15</v>
      </c>
      <c r="C114" s="77" t="s">
        <v>101</v>
      </c>
      <c r="D114" s="77" t="s">
        <v>62</v>
      </c>
      <c r="E114" s="77" t="s">
        <v>63</v>
      </c>
      <c r="F114" s="77" t="s">
        <v>155</v>
      </c>
      <c r="G114" s="77" t="s">
        <v>13</v>
      </c>
      <c r="H114" s="77" t="s">
        <v>64</v>
      </c>
      <c r="I114" s="77" t="s">
        <v>65</v>
      </c>
      <c r="J114" s="77" t="s">
        <v>66</v>
      </c>
      <c r="K114" s="77" t="s">
        <v>67</v>
      </c>
      <c r="L114" s="78"/>
      <c r="M114" s="132" t="s">
        <v>100</v>
      </c>
      <c r="N114" s="133"/>
      <c r="O114" s="77" t="s">
        <v>174</v>
      </c>
      <c r="P114" s="77" t="s">
        <v>175</v>
      </c>
      <c r="Q114" s="77" t="s">
        <v>176</v>
      </c>
      <c r="R114" s="77" t="s">
        <v>178</v>
      </c>
      <c r="S114" s="79" t="s">
        <v>68</v>
      </c>
      <c r="T114" s="54" t="e">
        <f t="shared" si="5"/>
        <v>#N/A</v>
      </c>
      <c r="U114" s="80" t="s">
        <v>177</v>
      </c>
      <c r="V114" s="81" t="s">
        <v>40</v>
      </c>
      <c r="W114" s="82" t="s">
        <v>153</v>
      </c>
      <c r="X114" s="80" t="s">
        <v>149</v>
      </c>
    </row>
    <row r="115" spans="1:24" s="45" customFormat="1" ht="15.75" customHeight="1">
      <c r="A115" s="87" t="s">
        <v>31</v>
      </c>
      <c r="B115" s="47" t="s">
        <v>43</v>
      </c>
      <c r="C115" s="48">
        <v>3</v>
      </c>
      <c r="D115" s="48" t="s">
        <v>43</v>
      </c>
      <c r="E115" s="48" t="s">
        <v>43</v>
      </c>
      <c r="F115" s="105" t="s">
        <v>61</v>
      </c>
      <c r="G115" s="48">
        <v>7</v>
      </c>
      <c r="H115" s="48">
        <v>3</v>
      </c>
      <c r="I115" s="48" t="s">
        <v>43</v>
      </c>
      <c r="J115" s="48" t="s">
        <v>43</v>
      </c>
      <c r="K115" s="49" t="s">
        <v>43</v>
      </c>
      <c r="L115" s="50"/>
      <c r="M115" s="134" t="s">
        <v>32</v>
      </c>
      <c r="N115" s="135"/>
      <c r="O115" s="48"/>
      <c r="P115" s="48"/>
      <c r="Q115" s="48"/>
      <c r="R115" s="49"/>
      <c r="S115" s="53"/>
      <c r="T115" s="54" t="e">
        <f t="shared" si="5"/>
        <v>#N/A</v>
      </c>
      <c r="U115" s="60"/>
      <c r="V115" s="57"/>
      <c r="W115" s="57">
        <f>IF(B115="-",0,B115)*110</f>
        <v>0</v>
      </c>
      <c r="X115" s="58" t="s">
        <v>118</v>
      </c>
    </row>
    <row r="116" spans="1:24" s="45" customFormat="1" ht="15.75" customHeight="1">
      <c r="A116" s="87" t="s">
        <v>154</v>
      </c>
      <c r="B116" s="68" t="str">
        <f>IF(B115="-","-",B115*3)</f>
        <v>-</v>
      </c>
      <c r="C116" s="48">
        <v>3</v>
      </c>
      <c r="D116" s="48">
        <v>4</v>
      </c>
      <c r="E116" s="48">
        <v>3</v>
      </c>
      <c r="F116" s="48">
        <v>3</v>
      </c>
      <c r="G116" s="48">
        <v>4</v>
      </c>
      <c r="H116" s="48">
        <v>1</v>
      </c>
      <c r="I116" s="48">
        <v>2</v>
      </c>
      <c r="J116" s="48">
        <v>1</v>
      </c>
      <c r="K116" s="49">
        <v>9</v>
      </c>
      <c r="L116" s="50"/>
      <c r="M116" s="51"/>
      <c r="N116" s="48"/>
      <c r="O116" s="48">
        <v>1</v>
      </c>
      <c r="P116" s="48" t="s">
        <v>43</v>
      </c>
      <c r="Q116" s="48" t="s">
        <v>155</v>
      </c>
      <c r="R116" s="49" t="s">
        <v>43</v>
      </c>
      <c r="S116" s="53" t="str">
        <f>VLOOKUP(T116,RW,$Z$137,FALSE)</f>
        <v>5+</v>
      </c>
      <c r="T116" s="54">
        <f t="shared" si="5"/>
        <v>2</v>
      </c>
      <c r="U116" s="60"/>
      <c r="V116" s="57"/>
      <c r="W116" s="57"/>
      <c r="X116" s="58" t="s">
        <v>12</v>
      </c>
    </row>
    <row r="117" spans="1:24" s="45" customFormat="1" ht="15.75" customHeight="1">
      <c r="A117" s="87"/>
      <c r="B117" s="68"/>
      <c r="C117" s="48"/>
      <c r="D117" s="48"/>
      <c r="E117" s="48"/>
      <c r="F117" s="48"/>
      <c r="G117" s="48"/>
      <c r="H117" s="48"/>
      <c r="I117" s="48"/>
      <c r="J117" s="48"/>
      <c r="K117" s="49"/>
      <c r="L117" s="84"/>
      <c r="M117" s="51"/>
      <c r="N117" s="48"/>
      <c r="O117" s="48"/>
      <c r="P117" s="48"/>
      <c r="Q117" s="48"/>
      <c r="R117" s="49"/>
      <c r="S117" s="53"/>
      <c r="T117" s="54" t="e">
        <f t="shared" si="5"/>
        <v>#N/A</v>
      </c>
      <c r="U117" s="60"/>
      <c r="V117" s="57"/>
      <c r="W117" s="57"/>
      <c r="X117" s="58" t="s">
        <v>119</v>
      </c>
    </row>
    <row r="118" spans="1:24" s="45" customFormat="1" ht="15.75" customHeight="1">
      <c r="A118" s="87"/>
      <c r="B118" s="68"/>
      <c r="C118" s="48"/>
      <c r="D118" s="48"/>
      <c r="E118" s="48"/>
      <c r="F118" s="48"/>
      <c r="G118" s="48"/>
      <c r="H118" s="48"/>
      <c r="I118" s="48"/>
      <c r="J118" s="48"/>
      <c r="K118" s="49"/>
      <c r="L118" s="84"/>
      <c r="M118" s="51"/>
      <c r="N118" s="48"/>
      <c r="O118" s="48"/>
      <c r="P118" s="48"/>
      <c r="Q118" s="48"/>
      <c r="R118" s="49"/>
      <c r="S118" s="53"/>
      <c r="T118" s="54"/>
      <c r="U118" s="60"/>
      <c r="V118" s="57"/>
      <c r="W118" s="57"/>
      <c r="X118" s="58" t="s">
        <v>120</v>
      </c>
    </row>
    <row r="119" spans="1:24" s="45" customFormat="1" ht="15.75" customHeight="1">
      <c r="A119" s="87"/>
      <c r="B119" s="48"/>
      <c r="C119" s="48"/>
      <c r="D119" s="48"/>
      <c r="E119" s="48"/>
      <c r="F119" s="48"/>
      <c r="G119" s="48"/>
      <c r="H119" s="48"/>
      <c r="I119" s="48"/>
      <c r="J119" s="48"/>
      <c r="K119" s="49"/>
      <c r="L119" s="84"/>
      <c r="M119" s="51"/>
      <c r="N119" s="48"/>
      <c r="O119" s="48"/>
      <c r="P119" s="48"/>
      <c r="Q119" s="48"/>
      <c r="R119" s="49"/>
      <c r="S119" s="53"/>
      <c r="T119" s="54" t="e">
        <f>VLOOKUP(Q119,Ruestung,$Z$130,FALSE)+IF(R119=1,1,0)</f>
        <v>#N/A</v>
      </c>
      <c r="U119" s="60"/>
      <c r="V119" s="57"/>
      <c r="W119" s="57"/>
      <c r="X119" s="58" t="s">
        <v>44</v>
      </c>
    </row>
    <row r="120" spans="1:24" s="45" customFormat="1" ht="15.75" customHeight="1" thickBot="1">
      <c r="A120" s="107"/>
      <c r="B120" s="108"/>
      <c r="C120" s="109"/>
      <c r="D120" s="109"/>
      <c r="E120" s="109"/>
      <c r="F120" s="109"/>
      <c r="G120" s="109"/>
      <c r="H120" s="109"/>
      <c r="I120" s="109"/>
      <c r="J120" s="109"/>
      <c r="K120" s="110"/>
      <c r="L120" s="111"/>
      <c r="M120" s="112"/>
      <c r="N120" s="109"/>
      <c r="O120" s="109"/>
      <c r="P120" s="109"/>
      <c r="Q120" s="109"/>
      <c r="R120" s="110"/>
      <c r="S120" s="113"/>
      <c r="T120" s="54" t="e">
        <f>VLOOKUP(Q120,Ruestung,$Z$130,FALSE)+IF(R120=1,1,0)</f>
        <v>#N/A</v>
      </c>
      <c r="U120" s="114"/>
      <c r="V120" s="115"/>
      <c r="W120" s="115"/>
      <c r="X120" s="116"/>
    </row>
    <row r="121" spans="1:24" s="45" customFormat="1" ht="13.5" customHeight="1">
      <c r="A121" s="117"/>
      <c r="B121" s="118"/>
      <c r="C121" s="119"/>
      <c r="D121" s="119"/>
      <c r="E121" s="119"/>
      <c r="F121" s="119"/>
      <c r="G121" s="119"/>
      <c r="H121" s="119"/>
      <c r="I121" s="119"/>
      <c r="J121" s="119"/>
      <c r="K121" s="120"/>
      <c r="L121" s="121"/>
      <c r="M121" s="122"/>
      <c r="N121" s="123"/>
      <c r="O121" s="123"/>
      <c r="P121" s="123"/>
      <c r="Q121" s="123"/>
      <c r="R121" s="123" t="s">
        <v>47</v>
      </c>
      <c r="S121" s="123"/>
      <c r="T121" s="123"/>
      <c r="U121" s="123"/>
      <c r="V121" s="130">
        <f>SUM(W11:W120)</f>
        <v>0</v>
      </c>
      <c r="W121" s="131"/>
      <c r="X121" s="125"/>
    </row>
    <row r="122" spans="1:24" s="45" customFormat="1" ht="12">
      <c r="A122" s="126"/>
      <c r="N122" s="124"/>
      <c r="O122" s="124"/>
      <c r="P122" s="124"/>
      <c r="Q122" s="124"/>
      <c r="R122" s="124"/>
      <c r="S122" s="124"/>
      <c r="T122" s="124"/>
      <c r="U122" s="124"/>
      <c r="V122" s="124"/>
      <c r="W122" s="124"/>
      <c r="X122" s="126"/>
    </row>
    <row r="123" spans="1:24" ht="25.5" customHeight="1">
      <c r="A123" s="138" t="s">
        <v>6</v>
      </c>
      <c r="B123" s="5" t="s">
        <v>5</v>
      </c>
      <c r="C123" s="5"/>
      <c r="D123" s="5"/>
      <c r="E123" s="5"/>
      <c r="F123" s="5"/>
      <c r="G123" s="5"/>
      <c r="H123" s="5"/>
      <c r="I123" s="5"/>
      <c r="J123" s="12" t="s">
        <v>183</v>
      </c>
      <c r="K123" s="12"/>
      <c r="L123" s="12"/>
      <c r="M123" s="12"/>
      <c r="N123" s="12"/>
      <c r="O123" s="12"/>
      <c r="P123" s="12"/>
      <c r="Q123" s="12"/>
      <c r="R123" s="12"/>
      <c r="S123" s="23"/>
      <c r="T123" s="12"/>
      <c r="U123" s="12"/>
      <c r="W123" s="12"/>
      <c r="X123" s="12" t="s">
        <v>7</v>
      </c>
    </row>
    <row r="124" spans="1:24" ht="25.5" customHeight="1">
      <c r="A124" s="138"/>
      <c r="B124" s="5" t="s">
        <v>157</v>
      </c>
      <c r="C124" s="5"/>
      <c r="D124" s="5"/>
      <c r="E124" s="5"/>
      <c r="F124" s="5"/>
      <c r="G124" s="5"/>
      <c r="H124" s="5"/>
      <c r="I124" s="5"/>
      <c r="J124" s="12"/>
      <c r="K124" s="12" t="s">
        <v>60</v>
      </c>
      <c r="L124" s="12"/>
      <c r="M124" s="12"/>
      <c r="N124" s="12"/>
      <c r="O124" s="12"/>
      <c r="P124" s="12"/>
      <c r="Q124" s="12"/>
      <c r="R124" s="12"/>
      <c r="S124" s="23"/>
      <c r="T124" s="12"/>
      <c r="U124" s="12"/>
      <c r="V124" s="12"/>
      <c r="W124" s="12"/>
      <c r="X124" s="12"/>
    </row>
    <row r="125" spans="1:24" ht="25.5" customHeight="1">
      <c r="A125" s="32" t="s">
        <v>134</v>
      </c>
      <c r="B125" s="5" t="s">
        <v>69</v>
      </c>
      <c r="C125" s="5"/>
      <c r="D125" s="5"/>
      <c r="E125" s="5"/>
      <c r="F125" s="5"/>
      <c r="G125" s="5"/>
      <c r="H125" s="5"/>
      <c r="I125" s="5"/>
      <c r="J125" s="5" t="s">
        <v>110</v>
      </c>
      <c r="K125" s="5"/>
      <c r="L125" s="5"/>
      <c r="M125" s="5"/>
      <c r="N125" s="5"/>
      <c r="O125" s="5"/>
      <c r="P125" s="5"/>
      <c r="Q125" s="5"/>
      <c r="S125" s="17"/>
      <c r="T125" s="5"/>
      <c r="V125" s="5"/>
      <c r="W125" s="5"/>
      <c r="X125" s="5" t="s">
        <v>20</v>
      </c>
    </row>
    <row r="126" spans="2:24" ht="25.5" customHeight="1">
      <c r="B126" s="5" t="s">
        <v>70</v>
      </c>
      <c r="C126" s="5"/>
      <c r="D126" s="5"/>
      <c r="E126" s="5"/>
      <c r="F126" s="5"/>
      <c r="G126" s="5"/>
      <c r="H126" s="5"/>
      <c r="I126" s="5"/>
      <c r="J126" s="5" t="s">
        <v>2</v>
      </c>
      <c r="K126" s="5"/>
      <c r="L126" s="5"/>
      <c r="M126" s="5"/>
      <c r="N126" s="5"/>
      <c r="O126" s="5"/>
      <c r="P126" s="5"/>
      <c r="Q126" s="31"/>
      <c r="R126" s="17" t="s">
        <v>88</v>
      </c>
      <c r="S126" s="33"/>
      <c r="T126" s="5"/>
      <c r="U126" s="5"/>
      <c r="V126" s="5"/>
      <c r="W126" s="5"/>
      <c r="X126" s="5" t="s">
        <v>39</v>
      </c>
    </row>
    <row r="127" ht="25.5" customHeight="1"/>
    <row r="128" ht="25.5" customHeight="1"/>
    <row r="129" ht="25.5" customHeight="1">
      <c r="A129" s="16" t="s">
        <v>107</v>
      </c>
    </row>
    <row r="130" spans="25:28" ht="25.5" customHeight="1">
      <c r="Y130" s="1">
        <v>1</v>
      </c>
      <c r="Z130" s="1">
        <v>2</v>
      </c>
      <c r="AA130" s="1">
        <v>1</v>
      </c>
      <c r="AB130" s="1">
        <v>2</v>
      </c>
    </row>
    <row r="131" spans="25:27" ht="25.5" customHeight="1">
      <c r="Y131" t="s">
        <v>27</v>
      </c>
      <c r="AA131" s="2" t="s">
        <v>79</v>
      </c>
    </row>
    <row r="132" spans="25:28" ht="25.5" customHeight="1">
      <c r="Y132" s="13" t="s">
        <v>43</v>
      </c>
      <c r="Z132" s="1">
        <v>0</v>
      </c>
      <c r="AA132" s="13" t="s">
        <v>43</v>
      </c>
      <c r="AB132" s="1">
        <v>1</v>
      </c>
    </row>
    <row r="133" spans="25:28" ht="25.5" customHeight="1">
      <c r="Y133" s="13" t="s">
        <v>28</v>
      </c>
      <c r="Z133" s="1">
        <v>1</v>
      </c>
      <c r="AA133" s="1" t="s">
        <v>28</v>
      </c>
      <c r="AB133" s="1">
        <v>2</v>
      </c>
    </row>
    <row r="134" spans="25:28" ht="25.5" customHeight="1">
      <c r="Y134" s="13" t="s">
        <v>155</v>
      </c>
      <c r="Z134" s="1">
        <v>2</v>
      </c>
      <c r="AA134" s="1" t="s">
        <v>155</v>
      </c>
      <c r="AB134" s="1">
        <v>3</v>
      </c>
    </row>
    <row r="135" spans="25:28" ht="25.5" customHeight="1">
      <c r="Y135" s="1" t="s">
        <v>93</v>
      </c>
      <c r="Z135" s="1">
        <v>3</v>
      </c>
      <c r="AA135" s="1" t="s">
        <v>93</v>
      </c>
      <c r="AB135" s="1">
        <v>4</v>
      </c>
    </row>
    <row r="136" spans="27:28" ht="25.5" customHeight="1">
      <c r="AA136" s="1"/>
      <c r="AB136" s="1"/>
    </row>
    <row r="137" spans="25:28" ht="25.5" customHeight="1">
      <c r="Y137" s="1">
        <v>1</v>
      </c>
      <c r="Z137" s="1">
        <v>2</v>
      </c>
      <c r="AA137" s="1">
        <v>1</v>
      </c>
      <c r="AB137" s="1">
        <v>2</v>
      </c>
    </row>
    <row r="138" spans="25:27" ht="25.5" customHeight="1">
      <c r="Y138" s="2" t="s">
        <v>68</v>
      </c>
      <c r="AA138" s="2" t="s">
        <v>103</v>
      </c>
    </row>
    <row r="139" spans="25:28" ht="25.5" customHeight="1">
      <c r="Y139" s="1">
        <v>0</v>
      </c>
      <c r="Z139" s="13" t="s">
        <v>43</v>
      </c>
      <c r="AA139" s="1">
        <v>1</v>
      </c>
      <c r="AB139" s="1" t="s">
        <v>78</v>
      </c>
    </row>
    <row r="140" spans="25:28" ht="25.5" customHeight="1">
      <c r="Y140" s="1">
        <v>1</v>
      </c>
      <c r="Z140" s="1" t="s">
        <v>78</v>
      </c>
      <c r="AA140" s="1">
        <v>2</v>
      </c>
      <c r="AB140" s="1" t="s">
        <v>173</v>
      </c>
    </row>
    <row r="141" spans="25:28" ht="25.5" customHeight="1">
      <c r="Y141" s="1">
        <v>2</v>
      </c>
      <c r="Z141" s="1" t="s">
        <v>173</v>
      </c>
      <c r="AA141" s="1">
        <v>3</v>
      </c>
      <c r="AB141" s="1" t="s">
        <v>172</v>
      </c>
    </row>
    <row r="142" spans="25:28" ht="25.5" customHeight="1">
      <c r="Y142" s="1">
        <v>3</v>
      </c>
      <c r="Z142" s="1" t="s">
        <v>172</v>
      </c>
      <c r="AA142" s="1">
        <v>4</v>
      </c>
      <c r="AB142" s="1" t="s">
        <v>24</v>
      </c>
    </row>
    <row r="143" spans="25:28" ht="25.5" customHeight="1">
      <c r="Y143" s="1">
        <v>4</v>
      </c>
      <c r="Z143" s="1" t="s">
        <v>24</v>
      </c>
      <c r="AA143" s="1">
        <v>5</v>
      </c>
      <c r="AB143" s="1" t="s">
        <v>77</v>
      </c>
    </row>
    <row r="144" spans="27:28" ht="25.5" customHeight="1">
      <c r="AA144" s="1"/>
      <c r="AB144" s="1"/>
    </row>
    <row r="146" spans="1:23" ht="12">
      <c r="A146" s="2" t="s">
        <v>158</v>
      </c>
      <c r="B146" s="2"/>
      <c r="J146" s="2" t="s">
        <v>138</v>
      </c>
      <c r="Q146" s="2" t="s">
        <v>86</v>
      </c>
      <c r="W146" s="2" t="s">
        <v>109</v>
      </c>
    </row>
    <row r="147" spans="1:23" ht="12">
      <c r="A147" s="1" t="s">
        <v>43</v>
      </c>
      <c r="B147" s="2"/>
      <c r="J147" s="1" t="s">
        <v>43</v>
      </c>
      <c r="Q147" s="1" t="s">
        <v>43</v>
      </c>
      <c r="W147" s="1" t="s">
        <v>43</v>
      </c>
    </row>
    <row r="148" spans="1:23" ht="12">
      <c r="A148" s="1">
        <v>1</v>
      </c>
      <c r="B148" s="2"/>
      <c r="J148" s="1">
        <v>1</v>
      </c>
      <c r="Q148" s="1">
        <v>1</v>
      </c>
      <c r="W148" s="1" t="s">
        <v>108</v>
      </c>
    </row>
    <row r="149" spans="1:17" ht="12">
      <c r="A149" s="1">
        <v>2</v>
      </c>
      <c r="B149" s="2"/>
      <c r="J149" s="1">
        <v>2</v>
      </c>
      <c r="Q149" s="1">
        <v>2</v>
      </c>
    </row>
    <row r="150" spans="1:17" ht="12">
      <c r="A150" s="1">
        <v>3</v>
      </c>
      <c r="B150" s="2"/>
      <c r="Q150" s="1">
        <v>3</v>
      </c>
    </row>
    <row r="151" spans="2:17" ht="12">
      <c r="B151" s="2"/>
      <c r="Q151" s="1">
        <v>4</v>
      </c>
    </row>
    <row r="152" spans="2:10" ht="12">
      <c r="B152" s="2"/>
      <c r="J152" s="2" t="s">
        <v>123</v>
      </c>
    </row>
    <row r="153" spans="1:17" ht="12">
      <c r="A153" s="2" t="s">
        <v>23</v>
      </c>
      <c r="B153" s="2"/>
      <c r="J153" s="1" t="s">
        <v>43</v>
      </c>
      <c r="Q153" s="2" t="s">
        <v>87</v>
      </c>
    </row>
    <row r="154" spans="1:17" ht="12">
      <c r="A154" s="1" t="s">
        <v>43</v>
      </c>
      <c r="B154" s="2"/>
      <c r="J154" s="1">
        <v>1</v>
      </c>
      <c r="Q154" s="1" t="s">
        <v>43</v>
      </c>
    </row>
    <row r="155" spans="1:17" ht="12">
      <c r="A155" s="1">
        <v>3</v>
      </c>
      <c r="B155" s="2"/>
      <c r="E155" s="2" t="s">
        <v>164</v>
      </c>
      <c r="J155" s="1"/>
      <c r="Q155" s="1">
        <v>3</v>
      </c>
    </row>
    <row r="156" spans="1:17" ht="12">
      <c r="A156" s="1">
        <v>6</v>
      </c>
      <c r="B156" s="2"/>
      <c r="E156" s="2">
        <v>3</v>
      </c>
      <c r="F156" s="2">
        <v>1</v>
      </c>
      <c r="Q156" s="1">
        <v>6</v>
      </c>
    </row>
    <row r="157" spans="1:17" ht="12">
      <c r="A157" s="1">
        <v>9</v>
      </c>
      <c r="B157" s="2"/>
      <c r="E157" s="2">
        <v>4</v>
      </c>
      <c r="F157" s="2">
        <v>2</v>
      </c>
      <c r="Q157" s="1">
        <v>9</v>
      </c>
    </row>
    <row r="158" spans="2:17" ht="12">
      <c r="B158" s="2"/>
      <c r="Q158" s="1">
        <v>12</v>
      </c>
    </row>
    <row r="159" spans="2:10" ht="12">
      <c r="B159" s="2"/>
      <c r="J159" s="2" t="s">
        <v>160</v>
      </c>
    </row>
    <row r="160" spans="1:3" ht="12">
      <c r="A160" s="2" t="s">
        <v>159</v>
      </c>
      <c r="B160" s="2"/>
      <c r="C160" s="2" t="s">
        <v>27</v>
      </c>
    </row>
    <row r="161" spans="1:10" ht="12">
      <c r="A161" s="1" t="s">
        <v>43</v>
      </c>
      <c r="B161" s="2"/>
      <c r="C161" s="1" t="s">
        <v>43</v>
      </c>
      <c r="J161" s="1" t="s">
        <v>78</v>
      </c>
    </row>
    <row r="162" spans="1:22" ht="12">
      <c r="A162" s="1">
        <v>9</v>
      </c>
      <c r="B162" s="2"/>
      <c r="C162" s="1" t="s">
        <v>28</v>
      </c>
      <c r="J162" s="1" t="s">
        <v>173</v>
      </c>
      <c r="Q162" s="2" t="s">
        <v>4</v>
      </c>
      <c r="V162" s="2" t="s">
        <v>180</v>
      </c>
    </row>
    <row r="163" spans="1:22" ht="12">
      <c r="A163" s="1">
        <v>10</v>
      </c>
      <c r="B163" s="2"/>
      <c r="C163" s="1" t="s">
        <v>155</v>
      </c>
      <c r="J163" s="1" t="s">
        <v>172</v>
      </c>
      <c r="Q163" s="1" t="s">
        <v>43</v>
      </c>
      <c r="V163" s="1" t="s">
        <v>43</v>
      </c>
    </row>
    <row r="164" spans="1:22" ht="12">
      <c r="A164" s="1">
        <v>11</v>
      </c>
      <c r="B164" s="2"/>
      <c r="C164" s="1" t="s">
        <v>93</v>
      </c>
      <c r="J164" s="1" t="s">
        <v>24</v>
      </c>
      <c r="Q164" s="2">
        <v>25</v>
      </c>
      <c r="V164" s="1">
        <v>4</v>
      </c>
    </row>
    <row r="165" spans="1:22" ht="12">
      <c r="A165" s="1">
        <v>12</v>
      </c>
      <c r="B165" s="2"/>
      <c r="J165" s="1" t="s">
        <v>77</v>
      </c>
      <c r="Q165" s="2">
        <v>50</v>
      </c>
      <c r="V165" s="1">
        <v>5</v>
      </c>
    </row>
    <row r="166" spans="1:22" ht="12">
      <c r="A166" s="1">
        <v>13</v>
      </c>
      <c r="B166" s="2"/>
      <c r="J166" s="1" t="s">
        <v>25</v>
      </c>
      <c r="V166" s="1">
        <v>6</v>
      </c>
    </row>
    <row r="167" spans="1:22" ht="12">
      <c r="A167" s="1">
        <v>14</v>
      </c>
      <c r="B167" s="2"/>
      <c r="C167" s="1" t="s">
        <v>85</v>
      </c>
      <c r="J167" s="1" t="s">
        <v>43</v>
      </c>
      <c r="V167" s="1">
        <v>7</v>
      </c>
    </row>
    <row r="168" spans="1:22" ht="12">
      <c r="A168" s="1">
        <v>15</v>
      </c>
      <c r="B168" s="2"/>
      <c r="C168" s="1" t="s">
        <v>43</v>
      </c>
      <c r="V168" s="1">
        <v>8</v>
      </c>
    </row>
    <row r="169" spans="1:22" ht="12">
      <c r="A169" s="1">
        <v>16</v>
      </c>
      <c r="B169" s="2"/>
      <c r="C169" s="1">
        <v>1</v>
      </c>
      <c r="G169" s="2" t="s">
        <v>71</v>
      </c>
      <c r="K169" s="2" t="s">
        <v>89</v>
      </c>
      <c r="R169" s="6"/>
      <c r="V169" s="1">
        <v>9</v>
      </c>
    </row>
    <row r="170" spans="1:22" ht="12">
      <c r="A170" s="1">
        <v>17</v>
      </c>
      <c r="B170" s="2"/>
      <c r="C170" s="1">
        <v>2</v>
      </c>
      <c r="G170" s="2" t="s">
        <v>43</v>
      </c>
      <c r="K170" s="2" t="s">
        <v>43</v>
      </c>
      <c r="R170" s="6"/>
      <c r="V170" s="1">
        <v>10</v>
      </c>
    </row>
    <row r="171" spans="1:22" ht="12">
      <c r="A171" s="1">
        <v>18</v>
      </c>
      <c r="B171" s="2"/>
      <c r="C171" s="1">
        <v>3</v>
      </c>
      <c r="G171" s="1">
        <v>9</v>
      </c>
      <c r="K171" s="1">
        <v>1</v>
      </c>
      <c r="V171" s="1">
        <v>11</v>
      </c>
    </row>
    <row r="172" spans="1:22" ht="12">
      <c r="A172" s="1">
        <v>19</v>
      </c>
      <c r="B172" s="2"/>
      <c r="C172" s="1">
        <v>4</v>
      </c>
      <c r="G172" s="1">
        <v>10</v>
      </c>
      <c r="K172" s="1">
        <v>2</v>
      </c>
      <c r="Q172" s="24"/>
      <c r="V172" s="1">
        <v>12</v>
      </c>
    </row>
    <row r="173" spans="1:22" ht="12">
      <c r="A173" s="1">
        <v>20</v>
      </c>
      <c r="B173" s="2"/>
      <c r="C173" s="1">
        <v>5</v>
      </c>
      <c r="G173" s="1">
        <v>11</v>
      </c>
      <c r="K173" s="1">
        <v>3</v>
      </c>
      <c r="Q173" s="2" t="s">
        <v>46</v>
      </c>
      <c r="V173" s="1">
        <v>13</v>
      </c>
    </row>
    <row r="174" spans="1:22" ht="12">
      <c r="A174" s="1">
        <v>21</v>
      </c>
      <c r="B174" s="2"/>
      <c r="C174" s="1">
        <v>6</v>
      </c>
      <c r="G174" s="1">
        <v>12</v>
      </c>
      <c r="K174" s="1">
        <v>4</v>
      </c>
      <c r="V174" s="1">
        <v>14</v>
      </c>
    </row>
    <row r="175" spans="1:22" ht="12">
      <c r="A175" s="1">
        <v>22</v>
      </c>
      <c r="B175" s="2"/>
      <c r="C175" s="1">
        <v>7</v>
      </c>
      <c r="G175" s="1">
        <v>13</v>
      </c>
      <c r="K175" s="1">
        <v>5</v>
      </c>
      <c r="Q175" s="1" t="s">
        <v>43</v>
      </c>
      <c r="V175" s="1">
        <v>15</v>
      </c>
    </row>
    <row r="176" spans="1:22" ht="12">
      <c r="A176" s="1">
        <v>23</v>
      </c>
      <c r="B176" s="2"/>
      <c r="C176" s="1">
        <v>8</v>
      </c>
      <c r="G176" s="1">
        <v>14</v>
      </c>
      <c r="K176" s="1">
        <v>6</v>
      </c>
      <c r="Q176" s="2">
        <v>5</v>
      </c>
      <c r="V176" s="1">
        <v>16</v>
      </c>
    </row>
    <row r="177" spans="1:22" ht="12">
      <c r="A177" s="1">
        <v>24</v>
      </c>
      <c r="B177" s="2"/>
      <c r="C177" s="1">
        <v>9</v>
      </c>
      <c r="G177" s="1"/>
      <c r="K177" s="1">
        <v>7</v>
      </c>
      <c r="Q177" s="2">
        <v>10</v>
      </c>
      <c r="V177" s="1">
        <v>17</v>
      </c>
    </row>
    <row r="178" spans="1:22" ht="12">
      <c r="A178" s="1">
        <v>25</v>
      </c>
      <c r="B178" s="2"/>
      <c r="C178" s="1">
        <v>10</v>
      </c>
      <c r="G178" s="1"/>
      <c r="K178" s="1">
        <v>8</v>
      </c>
      <c r="Q178" s="2">
        <v>15</v>
      </c>
      <c r="V178" s="1">
        <v>18</v>
      </c>
    </row>
    <row r="179" spans="1:22" ht="12">
      <c r="A179" s="1">
        <v>26</v>
      </c>
      <c r="B179" s="2"/>
      <c r="K179" s="1">
        <v>9</v>
      </c>
      <c r="Q179" s="2">
        <v>20</v>
      </c>
      <c r="V179" s="1">
        <v>19</v>
      </c>
    </row>
    <row r="180" spans="1:22" ht="12">
      <c r="A180" s="1">
        <v>27</v>
      </c>
      <c r="B180" s="2"/>
      <c r="E180" s="2" t="s">
        <v>98</v>
      </c>
      <c r="K180" s="1">
        <v>10</v>
      </c>
      <c r="Q180" s="2">
        <v>25</v>
      </c>
      <c r="V180" s="1">
        <v>20</v>
      </c>
    </row>
    <row r="181" spans="1:22" ht="12">
      <c r="A181" s="1">
        <v>28</v>
      </c>
      <c r="B181" s="2"/>
      <c r="E181" s="1" t="s">
        <v>43</v>
      </c>
      <c r="K181" s="1">
        <v>11</v>
      </c>
      <c r="Q181" s="2">
        <v>30</v>
      </c>
      <c r="V181" s="1"/>
    </row>
    <row r="182" spans="1:22" ht="12">
      <c r="A182" s="1">
        <v>29</v>
      </c>
      <c r="B182" s="2"/>
      <c r="E182" s="2">
        <v>10</v>
      </c>
      <c r="K182" s="1">
        <v>12</v>
      </c>
      <c r="Q182" s="2">
        <v>35</v>
      </c>
      <c r="S182" s="6" t="s">
        <v>21</v>
      </c>
      <c r="V182" s="1"/>
    </row>
    <row r="183" spans="1:22" ht="12">
      <c r="A183" s="1">
        <v>30</v>
      </c>
      <c r="E183" s="2">
        <v>25</v>
      </c>
      <c r="K183" s="1">
        <v>13</v>
      </c>
      <c r="Q183" s="2">
        <v>40</v>
      </c>
      <c r="S183" s="1" t="s">
        <v>43</v>
      </c>
      <c r="V183" s="1"/>
    </row>
    <row r="184" spans="1:22" ht="12">
      <c r="A184" s="1">
        <v>31</v>
      </c>
      <c r="E184" s="2">
        <v>40</v>
      </c>
      <c r="K184" s="1">
        <v>14</v>
      </c>
      <c r="Q184" s="2">
        <v>45</v>
      </c>
      <c r="S184" s="2">
        <v>5</v>
      </c>
      <c r="V184" s="1"/>
    </row>
    <row r="185" spans="1:22" ht="12">
      <c r="A185" s="1">
        <v>32</v>
      </c>
      <c r="E185" s="2">
        <v>50</v>
      </c>
      <c r="G185" s="1"/>
      <c r="K185" s="1">
        <v>15</v>
      </c>
      <c r="Q185" s="2">
        <v>50</v>
      </c>
      <c r="S185" s="2">
        <v>10</v>
      </c>
      <c r="V185" s="1"/>
    </row>
    <row r="186" spans="1:19" ht="12">
      <c r="A186" s="1">
        <v>33</v>
      </c>
      <c r="E186" s="2">
        <v>60</v>
      </c>
      <c r="K186" s="1">
        <v>16</v>
      </c>
      <c r="Q186" s="2">
        <v>55</v>
      </c>
      <c r="S186" s="2">
        <v>15</v>
      </c>
    </row>
    <row r="187" spans="1:19" ht="12">
      <c r="A187" s="1">
        <v>34</v>
      </c>
      <c r="B187" s="22" t="s">
        <v>3</v>
      </c>
      <c r="C187" s="22"/>
      <c r="E187" s="2">
        <v>100</v>
      </c>
      <c r="K187" s="1">
        <v>17</v>
      </c>
      <c r="Q187" s="2">
        <v>60</v>
      </c>
      <c r="R187" s="6"/>
      <c r="S187" s="2">
        <v>20</v>
      </c>
    </row>
    <row r="188" spans="1:19" ht="12">
      <c r="A188" s="1">
        <v>35</v>
      </c>
      <c r="C188" s="1" t="s">
        <v>43</v>
      </c>
      <c r="K188" s="1">
        <v>18</v>
      </c>
      <c r="Q188" s="2">
        <v>65</v>
      </c>
      <c r="S188" s="2">
        <v>25</v>
      </c>
    </row>
    <row r="189" spans="1:19" ht="12">
      <c r="A189" s="1">
        <v>36</v>
      </c>
      <c r="C189" s="2">
        <v>5</v>
      </c>
      <c r="F189" s="2" t="s">
        <v>37</v>
      </c>
      <c r="K189" s="1">
        <v>19</v>
      </c>
      <c r="Q189" s="2">
        <v>70</v>
      </c>
      <c r="S189" s="2">
        <v>40</v>
      </c>
    </row>
    <row r="190" spans="1:19" ht="12">
      <c r="A190" s="1">
        <v>37</v>
      </c>
      <c r="C190" s="2">
        <v>6</v>
      </c>
      <c r="E190" s="24"/>
      <c r="F190" s="1" t="s">
        <v>43</v>
      </c>
      <c r="K190" s="1">
        <v>20</v>
      </c>
      <c r="Q190" s="2">
        <v>75</v>
      </c>
      <c r="S190" s="2">
        <v>45</v>
      </c>
    </row>
    <row r="191" spans="1:19" ht="12">
      <c r="A191" s="1">
        <v>38</v>
      </c>
      <c r="C191" s="2">
        <v>7</v>
      </c>
      <c r="F191" s="2">
        <v>10</v>
      </c>
      <c r="K191" s="1">
        <v>21</v>
      </c>
      <c r="Q191" s="2">
        <v>80</v>
      </c>
      <c r="S191" s="2">
        <v>50</v>
      </c>
    </row>
    <row r="192" spans="1:19" ht="12">
      <c r="A192" s="1">
        <v>39</v>
      </c>
      <c r="C192" s="2">
        <v>8</v>
      </c>
      <c r="F192" s="2">
        <v>25</v>
      </c>
      <c r="K192" s="1">
        <v>22</v>
      </c>
      <c r="Q192" s="2">
        <v>85</v>
      </c>
      <c r="S192" s="2">
        <v>55</v>
      </c>
    </row>
    <row r="193" spans="1:19" ht="12">
      <c r="A193" s="1">
        <v>40</v>
      </c>
      <c r="C193" s="2">
        <v>9</v>
      </c>
      <c r="F193" s="2">
        <v>30</v>
      </c>
      <c r="K193" s="1">
        <v>23</v>
      </c>
      <c r="Q193" s="2">
        <v>90</v>
      </c>
      <c r="S193" s="2">
        <v>50</v>
      </c>
    </row>
    <row r="194" spans="1:19" ht="12">
      <c r="A194" s="1">
        <v>41</v>
      </c>
      <c r="C194" s="2">
        <v>10</v>
      </c>
      <c r="F194" s="2">
        <v>40</v>
      </c>
      <c r="K194" s="1">
        <v>24</v>
      </c>
      <c r="Q194" s="2">
        <v>95</v>
      </c>
      <c r="S194" s="2">
        <v>55</v>
      </c>
    </row>
    <row r="195" spans="1:19" ht="12">
      <c r="A195" s="1">
        <v>42</v>
      </c>
      <c r="C195" s="2">
        <v>11</v>
      </c>
      <c r="F195" s="2">
        <v>50</v>
      </c>
      <c r="K195" s="1">
        <v>25</v>
      </c>
      <c r="Q195" s="2">
        <v>100</v>
      </c>
      <c r="S195" s="2">
        <v>70</v>
      </c>
    </row>
    <row r="196" spans="1:19" ht="12">
      <c r="A196" s="1">
        <v>43</v>
      </c>
      <c r="C196" s="2">
        <v>12</v>
      </c>
      <c r="Q196" s="2">
        <v>105</v>
      </c>
      <c r="S196" s="2">
        <v>75</v>
      </c>
    </row>
    <row r="197" spans="1:19" ht="12">
      <c r="A197" s="1">
        <v>44</v>
      </c>
      <c r="C197" s="2">
        <v>13</v>
      </c>
      <c r="Q197" s="2">
        <v>110</v>
      </c>
      <c r="S197" s="2"/>
    </row>
    <row r="198" spans="1:19" ht="12">
      <c r="A198" s="1">
        <v>45</v>
      </c>
      <c r="C198" s="2">
        <v>14</v>
      </c>
      <c r="G198" s="2" t="s">
        <v>111</v>
      </c>
      <c r="Q198" s="2">
        <v>115</v>
      </c>
      <c r="S198" s="2"/>
    </row>
    <row r="199" spans="1:17" ht="12">
      <c r="A199" s="1">
        <v>46</v>
      </c>
      <c r="C199" s="2">
        <v>15</v>
      </c>
      <c r="G199" s="1" t="s">
        <v>43</v>
      </c>
      <c r="Q199" s="2">
        <v>120</v>
      </c>
    </row>
    <row r="200" spans="1:17" ht="12">
      <c r="A200" s="1">
        <v>47</v>
      </c>
      <c r="C200" s="2">
        <v>16</v>
      </c>
      <c r="G200" s="2">
        <v>20</v>
      </c>
      <c r="Q200" s="2">
        <v>125</v>
      </c>
    </row>
    <row r="201" spans="1:17" ht="12">
      <c r="A201" s="1">
        <v>48</v>
      </c>
      <c r="C201" s="2">
        <v>17</v>
      </c>
      <c r="G201" s="2">
        <v>25</v>
      </c>
      <c r="Q201" s="2">
        <v>130</v>
      </c>
    </row>
    <row r="202" spans="1:17" ht="12">
      <c r="A202" s="1">
        <v>49</v>
      </c>
      <c r="C202" s="2">
        <v>18</v>
      </c>
      <c r="G202" s="2">
        <v>45</v>
      </c>
      <c r="Q202" s="2">
        <v>135</v>
      </c>
    </row>
    <row r="203" spans="1:17" ht="12">
      <c r="A203" s="1">
        <v>50</v>
      </c>
      <c r="C203" s="2">
        <v>19</v>
      </c>
      <c r="G203" s="2">
        <v>60</v>
      </c>
      <c r="Q203" s="2">
        <v>140</v>
      </c>
    </row>
    <row r="204" spans="3:17" ht="12">
      <c r="C204" s="2">
        <v>20</v>
      </c>
      <c r="Q204" s="2">
        <v>145</v>
      </c>
    </row>
    <row r="205" ht="12">
      <c r="Q205" s="2">
        <v>150</v>
      </c>
    </row>
    <row r="206" ht="12">
      <c r="G206" s="2" t="s">
        <v>112</v>
      </c>
    </row>
    <row r="207" spans="1:7" ht="12">
      <c r="A207" s="2" t="s">
        <v>159</v>
      </c>
      <c r="G207" s="1" t="s">
        <v>43</v>
      </c>
    </row>
    <row r="208" spans="1:7" ht="12">
      <c r="A208" s="1" t="s">
        <v>43</v>
      </c>
      <c r="G208" s="2">
        <v>20</v>
      </c>
    </row>
    <row r="209" spans="1:7" ht="12">
      <c r="A209" s="1">
        <v>4</v>
      </c>
      <c r="G209" s="2">
        <v>25</v>
      </c>
    </row>
    <row r="210" spans="1:7" ht="12">
      <c r="A210" s="1">
        <v>5</v>
      </c>
      <c r="G210" s="2">
        <v>45</v>
      </c>
    </row>
    <row r="211" spans="1:7" ht="12">
      <c r="A211" s="1">
        <v>6</v>
      </c>
      <c r="G211" s="2">
        <v>80</v>
      </c>
    </row>
    <row r="212" ht="12">
      <c r="A212" s="1">
        <v>7</v>
      </c>
    </row>
    <row r="213" spans="1:3" ht="12">
      <c r="A213" s="1">
        <v>8</v>
      </c>
      <c r="C213" s="2" t="s">
        <v>122</v>
      </c>
    </row>
    <row r="214" spans="1:3" ht="12">
      <c r="A214" s="1">
        <v>9</v>
      </c>
      <c r="C214" s="1" t="s">
        <v>43</v>
      </c>
    </row>
    <row r="215" spans="1:3" ht="12">
      <c r="A215" s="1">
        <v>10</v>
      </c>
      <c r="C215" s="1">
        <v>19</v>
      </c>
    </row>
    <row r="216" spans="1:3" ht="12">
      <c r="A216" s="1">
        <v>11</v>
      </c>
      <c r="C216" s="1">
        <v>20</v>
      </c>
    </row>
    <row r="217" spans="1:3" ht="12">
      <c r="A217" s="1">
        <v>12</v>
      </c>
      <c r="C217" s="1">
        <v>21</v>
      </c>
    </row>
    <row r="218" spans="1:3" ht="12">
      <c r="A218" s="1">
        <v>13</v>
      </c>
      <c r="C218" s="1">
        <v>22</v>
      </c>
    </row>
    <row r="219" spans="1:3" ht="12">
      <c r="A219" s="1">
        <v>14</v>
      </c>
      <c r="C219" s="1">
        <v>23</v>
      </c>
    </row>
    <row r="220" spans="1:3" ht="12">
      <c r="A220" s="1">
        <v>15</v>
      </c>
      <c r="C220" s="1">
        <v>24</v>
      </c>
    </row>
    <row r="221" spans="1:3" ht="12">
      <c r="A221" s="1">
        <v>16</v>
      </c>
      <c r="C221" s="1">
        <v>25</v>
      </c>
    </row>
    <row r="222" spans="1:3" ht="12">
      <c r="A222" s="1">
        <v>17</v>
      </c>
      <c r="C222" s="1">
        <v>26</v>
      </c>
    </row>
    <row r="223" spans="1:3" ht="12">
      <c r="A223" s="1">
        <v>18</v>
      </c>
      <c r="C223" s="1">
        <v>27</v>
      </c>
    </row>
    <row r="224" spans="1:3" ht="12">
      <c r="A224" s="1">
        <v>19</v>
      </c>
      <c r="C224" s="1">
        <v>28</v>
      </c>
    </row>
    <row r="225" spans="1:3" ht="12">
      <c r="A225" s="1">
        <v>20</v>
      </c>
      <c r="C225" s="1">
        <v>29</v>
      </c>
    </row>
    <row r="226" spans="1:3" ht="12">
      <c r="A226" s="1">
        <v>21</v>
      </c>
      <c r="C226" s="1">
        <v>30</v>
      </c>
    </row>
    <row r="227" spans="1:3" ht="12">
      <c r="A227" s="1">
        <v>22</v>
      </c>
      <c r="C227" s="1">
        <v>31</v>
      </c>
    </row>
    <row r="228" spans="1:3" ht="12">
      <c r="A228" s="1">
        <v>23</v>
      </c>
      <c r="C228" s="1">
        <v>32</v>
      </c>
    </row>
    <row r="229" spans="1:3" ht="12">
      <c r="A229" s="1">
        <v>24</v>
      </c>
      <c r="C229" s="1">
        <v>33</v>
      </c>
    </row>
    <row r="230" spans="1:3" ht="12">
      <c r="A230" s="1">
        <v>25</v>
      </c>
      <c r="C230" s="1">
        <v>34</v>
      </c>
    </row>
    <row r="231" spans="1:3" ht="12">
      <c r="A231" s="1">
        <v>26</v>
      </c>
      <c r="C231" s="1">
        <v>35</v>
      </c>
    </row>
    <row r="232" spans="1:3" ht="12">
      <c r="A232" s="1">
        <v>27</v>
      </c>
      <c r="C232" s="1">
        <v>36</v>
      </c>
    </row>
    <row r="233" spans="1:3" ht="12">
      <c r="A233" s="1">
        <v>28</v>
      </c>
      <c r="C233" s="1">
        <v>37</v>
      </c>
    </row>
    <row r="234" spans="1:3" ht="12">
      <c r="A234" s="1">
        <v>29</v>
      </c>
      <c r="C234" s="1">
        <v>38</v>
      </c>
    </row>
    <row r="235" spans="1:3" ht="12">
      <c r="A235" s="1">
        <v>30</v>
      </c>
      <c r="C235" s="1">
        <v>39</v>
      </c>
    </row>
    <row r="236" spans="1:3" ht="12">
      <c r="A236" s="1">
        <v>31</v>
      </c>
      <c r="C236" s="1">
        <v>40</v>
      </c>
    </row>
    <row r="237" spans="1:3" ht="12">
      <c r="A237" s="1">
        <v>32</v>
      </c>
      <c r="C237" s="1">
        <v>41</v>
      </c>
    </row>
    <row r="238" spans="1:3" ht="12">
      <c r="A238" s="1">
        <v>33</v>
      </c>
      <c r="C238" s="1">
        <v>42</v>
      </c>
    </row>
    <row r="239" spans="1:3" ht="12">
      <c r="A239" s="1">
        <v>34</v>
      </c>
      <c r="C239" s="1">
        <v>43</v>
      </c>
    </row>
    <row r="240" spans="1:3" ht="12">
      <c r="A240" s="1">
        <v>35</v>
      </c>
      <c r="C240" s="1">
        <v>44</v>
      </c>
    </row>
    <row r="241" spans="1:3" ht="12">
      <c r="A241" s="1">
        <v>36</v>
      </c>
      <c r="C241" s="1">
        <v>45</v>
      </c>
    </row>
    <row r="242" spans="1:3" ht="12">
      <c r="A242" s="1">
        <v>37</v>
      </c>
      <c r="C242" s="1">
        <v>46</v>
      </c>
    </row>
    <row r="243" spans="1:3" ht="12">
      <c r="A243" s="1">
        <v>38</v>
      </c>
      <c r="C243" s="1">
        <v>47</v>
      </c>
    </row>
    <row r="244" spans="1:3" ht="12">
      <c r="A244" s="1">
        <v>39</v>
      </c>
      <c r="C244" s="1">
        <v>48</v>
      </c>
    </row>
    <row r="245" spans="1:3" ht="12">
      <c r="A245" s="1">
        <v>40</v>
      </c>
      <c r="C245" s="1">
        <v>49</v>
      </c>
    </row>
    <row r="246" spans="1:3" ht="12">
      <c r="A246" s="1">
        <v>41</v>
      </c>
      <c r="C246" s="1">
        <v>50</v>
      </c>
    </row>
    <row r="247" spans="1:3" ht="12">
      <c r="A247" s="1">
        <v>42</v>
      </c>
      <c r="C247" s="1">
        <v>51</v>
      </c>
    </row>
    <row r="248" spans="1:3" ht="12">
      <c r="A248" s="1">
        <v>43</v>
      </c>
      <c r="C248" s="1">
        <v>52</v>
      </c>
    </row>
    <row r="249" spans="1:3" ht="12">
      <c r="A249" s="1">
        <v>44</v>
      </c>
      <c r="C249" s="1">
        <v>53</v>
      </c>
    </row>
    <row r="250" spans="1:3" ht="12">
      <c r="A250" s="1">
        <v>45</v>
      </c>
      <c r="C250" s="1">
        <v>54</v>
      </c>
    </row>
    <row r="251" spans="1:3" ht="12">
      <c r="A251" s="1">
        <v>46</v>
      </c>
      <c r="C251" s="1">
        <v>55</v>
      </c>
    </row>
    <row r="252" spans="1:3" ht="12">
      <c r="A252" s="1">
        <v>47</v>
      </c>
      <c r="C252" s="1">
        <v>56</v>
      </c>
    </row>
    <row r="253" spans="1:3" ht="12">
      <c r="A253" s="1">
        <v>48</v>
      </c>
      <c r="C253" s="1">
        <v>57</v>
      </c>
    </row>
    <row r="254" spans="1:3" ht="12">
      <c r="A254" s="1">
        <v>49</v>
      </c>
      <c r="C254" s="1">
        <v>58</v>
      </c>
    </row>
    <row r="255" spans="1:3" ht="12">
      <c r="A255" s="1">
        <v>50</v>
      </c>
      <c r="C255" s="1">
        <v>59</v>
      </c>
    </row>
    <row r="256" ht="12">
      <c r="C256" s="1">
        <v>60</v>
      </c>
    </row>
    <row r="257" ht="12">
      <c r="C257" s="1">
        <v>61</v>
      </c>
    </row>
    <row r="258" ht="12">
      <c r="C258" s="1">
        <v>62</v>
      </c>
    </row>
    <row r="259" ht="12">
      <c r="C259" s="1">
        <v>63</v>
      </c>
    </row>
    <row r="260" ht="12">
      <c r="C260" s="1">
        <v>64</v>
      </c>
    </row>
    <row r="261" ht="12">
      <c r="C261" s="1">
        <v>65</v>
      </c>
    </row>
    <row r="262" ht="12">
      <c r="C262" s="1">
        <v>66</v>
      </c>
    </row>
    <row r="263" ht="12">
      <c r="C263" s="1">
        <v>67</v>
      </c>
    </row>
    <row r="264" ht="12">
      <c r="C264" s="1">
        <v>68</v>
      </c>
    </row>
    <row r="265" ht="12">
      <c r="C265" s="1">
        <v>69</v>
      </c>
    </row>
    <row r="266" ht="12">
      <c r="C266" s="1">
        <v>70</v>
      </c>
    </row>
    <row r="267" ht="12">
      <c r="C267" s="1">
        <v>71</v>
      </c>
    </row>
    <row r="268" ht="12">
      <c r="C268" s="1">
        <v>72</v>
      </c>
    </row>
    <row r="269" ht="12">
      <c r="C269" s="1">
        <v>73</v>
      </c>
    </row>
    <row r="270" ht="12">
      <c r="C270" s="1">
        <v>74</v>
      </c>
    </row>
    <row r="271" ht="12">
      <c r="C271" s="1">
        <v>75</v>
      </c>
    </row>
    <row r="272" ht="12">
      <c r="C272" s="1">
        <v>76</v>
      </c>
    </row>
    <row r="273" ht="12">
      <c r="C273" s="1">
        <v>77</v>
      </c>
    </row>
    <row r="274" ht="12">
      <c r="C274" s="1">
        <v>78</v>
      </c>
    </row>
    <row r="275" ht="12">
      <c r="C275" s="1">
        <v>79</v>
      </c>
    </row>
    <row r="276" ht="12">
      <c r="C276" s="1">
        <v>80</v>
      </c>
    </row>
  </sheetData>
  <sheetProtection password="E698" sheet="1" objects="1" scenarios="1"/>
  <mergeCells count="12">
    <mergeCell ref="A123:A124"/>
    <mergeCell ref="M114:N114"/>
    <mergeCell ref="M103:N103"/>
    <mergeCell ref="M106:N106"/>
    <mergeCell ref="A2:X2"/>
    <mergeCell ref="A3:X3"/>
    <mergeCell ref="V121:W121"/>
    <mergeCell ref="M102:N102"/>
    <mergeCell ref="M115:N115"/>
    <mergeCell ref="A9:X9"/>
    <mergeCell ref="D8:H8"/>
    <mergeCell ref="O8:Q8"/>
  </mergeCells>
  <dataValidations count="53">
    <dataValidation type="list" allowBlank="1" showInputMessage="1" showErrorMessage="1" promptTitle="Anzahl Hobgoblin-Speerschleudern" prompt="Bitte wähle die Anzahl der eingesetzten Hobgoblin-Speerschleudern aus der Liste aus! Zwei Hobgoblin-Speerschleudern gelten als eine Eliteauswahl!" errorTitle="Da stimmt was nicht!" error="Bitte wähle die Anzahl der eingesetzten Speerschleudern aus der Liste aus! Zwei Sprreschleudern gelten als eine Eliteauswahl!" sqref="B103">
      <formula1>$Q$147:$Q$151</formula1>
    </dataValidation>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66 M69 M81 M95 M111 M58 M61 M72 M89 M76 M99 M92 M85">
      <formula1>$A$147:$A$150</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58 N66 N69 N81 N95 N111 N61 N72 N89 N76 N99 N92 N85">
      <formula1>$A$147:$A$150</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11 O95 O47 O52 O81 O54:O55 O111 O24">
      <formula1>$J$147:$J$149</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1 P54:P55 P47 P111 P58 P52 P95 P24">
      <formula1>$J$153:$J$154</formula1>
    </dataValidation>
    <dataValidation type="list" allowBlank="1" showInputMessage="1" showErrorMessage="1" promptTitle="Magier-Stufe" prompt="Bitte wähle aus der Liste aus, ob Du Deinen Meisterzauberer von Stufe 3 auf Stufe 4 aufwertest (35 P)!" errorTitle="Das geht nicht!" error="Ein Meisterzauberer hat entweder Stufe 3 oder 4. Wähle aus der Liste!" sqref="B18">
      <formula1>$E$156:$E$157</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81 R69 R52 R66 R11 R47 R54:R55 R72 R76 R95 R24">
      <formula1>$J$153:$J$154</formula1>
    </dataValidation>
    <dataValidation type="list" allowBlank="1" showInputMessage="1" showErrorMessage="1" promptTitle="Armeestandarte" prompt="Bitte wähle aus der Liste aus, ob Deine Armee eine Armeestandarte hat! Für eine Armeestandarte, wähle 1, ansonsten -!" errorTitle="Du bist ja ein tolller Anführer!" error="Entweder hat Deine Armee eine Armeestandarte oder nicht! Wähle aus der Liste!" sqref="B41 B44">
      <formula1>$A$147:$A$148</formula1>
    </dataValidation>
    <dataValidation type="list" allowBlank="1" showInputMessage="1" showErrorMessage="1" promptTitle="Anzahl Chaoszwergen Tyranne" prompt="Bitte wähle die Anzahl der eingesetzten Chaoszwergen Tyranne aus der Liste aus!" errorTitle="So viele?!?" error="Mehr als drei? Was für eine Armee! Bitte wähle aus der Liste aus!" sqref="B11">
      <formula1>$A$147:$A$150</formula1>
    </dataValidation>
    <dataValidation type="list" allowBlank="1" showInputMessage="1" showErrorMessage="1" promptTitle="Anzahl Meisterzauberer" prompt="Bitte wähle die Anzahl der eingesetzten Meisterzauberer aus der Liste aus!" errorTitle="So viele?!?" error="Mehr als drei? Was für eine Armee! Bitte wähle aus der Liste aus!" sqref="B17">
      <formula1>$A$147:$A$150</formula1>
    </dataValidation>
    <dataValidation type="list" allowBlank="1" showInputMessage="1" showErrorMessage="1" promptTitle="Anzahl Hobgoblin-Bosse" prompt="Bitte wähle die Anzahl der eingesetzten Hobgoblin-Bosse aus der Liste aus!" errorTitle="So viele?!?" error="Mehr als drei? Was für eine Armee! Bitte wähle aus der Liste aus!" sqref="B54">
      <formula1>$A$147:$A$150</formula1>
    </dataValidation>
    <dataValidation type="list" allowBlank="1" showInputMessage="1" showErrorMessage="1" promptTitle="Anzahl Chaoszwergen-Zauberer" prompt="Bitte wähle die Anzahl der eingesetzten Chaoszwergen-Zauberer aus der Liste aus!" errorTitle="So viele?!?" error="Mehr als drei? Was für eine Armee! Bitte wähle aus der Liste aus!" sqref="B49">
      <formula1>$A$147:$A$150</formula1>
    </dataValidation>
    <dataValidation type="list" allowBlank="1" showInputMessage="1" showErrorMessage="1" promptTitle="Anzahl der Chaoszwergen-Krieger" prompt="Bitte wähle die Anzahl aller Chaoszwergen-Krieger in allen Einheiten dieser Truppengattung aus!" errorTitle="Da stimmt was nicht!" error="Bitte wähle die Truppenstärke aus der Liste aus!" sqref="B58">
      <formula1>$A$161:$A$203</formula1>
    </dataValidation>
    <dataValidation type="list" allowBlank="1" showInputMessage="1" showErrorMessage="1" promptTitle="Anzahl der Schwarzork-Bosse" prompt="Bitte wähle die Anzahl aller bei den Schwarzorks eingesetzten Schwarzork-Bosse aus der Liste aus!" errorTitle="So viele?!?" error="Mehr als drei? Was für eine Armee! Bitte wähle aus der Liste aus!" sqref="B96">
      <formula1>$A$147:$A$150</formula1>
    </dataValidation>
    <dataValidation type="list" allowBlank="1" showInputMessage="1" showErrorMessage="1" promptTitle="Anzahl der Ork-Bosse" prompt="Bitte wähle die Anzahl aller bei den Orkkriegern eingesetzten Ork-Bosse aus der Liste aus!" errorTitle="So viele?!?" error="Mehr als drei? Was für eine Armee! Bitte wähle aus der Liste aus!" sqref="B82 B86">
      <formula1>$A$147:$A$150</formula1>
    </dataValidation>
    <dataValidation type="list" allowBlank="1" showInputMessage="1" showErrorMessage="1" promptTitle="Anzahl der Schwarzorks" prompt="Bitte wähle die Anzahl aller Schwarzorks in allen Einheiten dieser Truppengattung aus!" errorTitle="Da stimmt was nicht" error="Bitte wähle die Truppenstärke aus der Liste aus!" sqref="B95">
      <formula1>$A$161:$A$203</formula1>
    </dataValidation>
    <dataValidation type="list" allowBlank="1" showInputMessage="1" showErrorMessage="1" promptTitle="Anzahl der Orkkrieger" prompt="Bitte wähle die Anzahl aller Orkkrieger in allen Einheiten dieser Truppengattung aus!" errorTitle="Da stimmt was nicht" error="Bitte wähle die Truppenstärke aus der Liste aus!" sqref="B81 B85">
      <formula1>$A$161:$A$203</formula1>
    </dataValidation>
    <dataValidation type="list" allowBlank="1" showInputMessage="1" showErrorMessage="1" promptTitle="Anzahl der Raketenwerfer" prompt="Bitte wähle die Anzahl aller eingesetzten Raketenwerfer dieser Truppengattung aus der Liste aus!" errorTitle="So viele?!?" error="Mehr als drei? Was für eine Armee! Bitte wähle aus der Liste aus!" sqref="B106">
      <formula1>$A$147:$A$150</formula1>
    </dataValidation>
    <dataValidation type="list" allowBlank="1" showInputMessage="1" showErrorMessage="1" promptTitle="Reisentaurus" prompt="Bitte wähle die Anzahl der Riesentauri aus der Liste aus, auf denen die Chaoszwergen Tyranne reiten!" errorTitle="So viele?!?" error="Mehr als drei? Was für eine Armee! Bitte wähle aus der Liste aus!" sqref="B20">
      <formula1>$A$147:$A$150</formula1>
    </dataValidation>
    <dataValidation type="list" allowBlank="1" showInputMessage="1" showErrorMessage="1" promptTitle="Rüstung" prompt="Bitte wähle aus der Liste aus, ob der Charakter oder der Krieger keine, eine leichte Rüstung (L), eine schwere Rüstung (S) oder eine Schmiedefeuer-Rüstung (SF)(45 P) trägt." errorTitle="Dusel!" error="Charakter oder Einheiten können nur die in der Liste aufgeführten Rüstungen tragen." sqref="Q11 Q47 Q54:Q55 Q52 Q24">
      <formula1>$C$161:$C$164</formula1>
    </dataValidation>
    <dataValidation type="list" allowBlank="1" showInputMessage="1" showErrorMessage="1" promptTitle="Magische Gegenstände" prompt="Dieser Charakter kann sich mit magischen Waffen, Rüstungen oder Talismanen rüsten (Regelbuch S: 154, Armeeliste Chaoszwerge). Dieser Charakter darf maximal je einen magischen Gegenstand je Kategorie erhalten. Wähle einen Wert aus der Liste aus!" errorTitle="Du willst die Chaos-Dawi führen?" error="Den ausgewählten Wert gibt es nicht! Verwende die Liste!" sqref="V11 V54 V47 V52 V49 V24">
      <formula1>$Q$175:$Q$205</formula1>
    </dataValidation>
    <dataValidation type="list" allowBlank="1" showInputMessage="1" showErrorMessage="1" promptTitle="Magische Gegenstände" prompt="Der Zauberer kann magischen Waffen, Rüstungen, Talismane oder arkanen Artefakten erhalten (Regelbuch S: 154, Armeeliste Chaoszwerge). Dieser Charakter darf maximal je einen magischen Gegenstand je Kategorie erhalten. Wähle einen Wert aus der Liste aus!" errorTitle="Du willst die Chaos-Dawi führen?" error="Den ausgewählten Wert gibt es nicht! Verwende die Liste!" sqref="V17">
      <formula1>$Q$175:$Q$205</formula1>
    </dataValidation>
    <dataValidation type="list" allowBlank="1" showInputMessage="1" showErrorMessage="1" promptTitle="Anzahl Chaoszwergen Despoten" prompt="Bitte wähle die Anzahl der eingesetzten Chaoszwergen Despoten aus der Liste aus!" errorTitle="So viele?!?" error="Mehr als drei? Was für eine Armee! Bitte wähle aus der Liste aus!" sqref="B47">
      <formula1>$A$147:$A$150</formula1>
    </dataValidation>
    <dataValidation type="list" allowBlank="1" showInputMessage="1" showErrorMessage="1" promptTitle="Magier-Stufe" prompt="Bitte wähle aus der Liste aus, ob Du Deinen Chaoszwergen-Zauberer von Stufe 1 auf Stufe 2 aufwertest (35 P)!" errorTitle="Das geht nicht!" error="Ein Zauberer hat entweder Stufe 1 oder 2. Wähle aus der Liste!" sqref="B50">
      <formula1>$F$156:$F$157</formula1>
    </dataValidation>
    <dataValidation type="list" allowBlank="1" showInputMessage="1" showErrorMessage="1" promptTitle="Anzahl Stierzentauren Tyranne" prompt="Bitte wähle die Anzahl der eingesetzten Anzahl Stierzentauren Tyranne aus der Liste aus!" errorTitle="So viele?!?" error="Mehr als drei? Was für eine Armee! Bitte wähle aus der Liste aus!" sqref="B24">
      <formula1>$A$147:$A$150</formula1>
    </dataValidation>
    <dataValidation type="list" allowBlank="1" showInputMessage="1" showErrorMessage="1" promptTitle="Anzahl Stierzentauren Despoten" prompt="Bitte wähle die Anzahl der eingesetzten Anzahl Stierzentauren Despoten aus der Liste aus!" errorTitle="So viele?!?" error="Mehr als drei? Was für eine Armee! Bitte wähle aus der Liste aus!" sqref="B52">
      <formula1>$A$147:$A$150</formula1>
    </dataValidation>
    <dataValidation type="list" allowBlank="1" showInputMessage="1" showErrorMessage="1" promptTitle="Rüstung" prompt="Bitte wähle aus der Liste aus, ob der Charakter oder der Krieger keine, eine leichte Rüstung (L) oder eine schwere Rüstung (S) trägt." errorTitle="Dusel!" error="Charakter oder Einheiten können nur die in der Liste aufgeführten Rüstungen tragen." sqref="Q41 Q44">
      <formula1>$C$161:$C$163</formula1>
    </dataValidation>
    <dataValidation type="list" allowBlank="1" showInputMessage="1" showErrorMessage="1" promptTitle="Magische Gegenstände" prompt="Dieser Charakter kann magischen Waffen, Rüstungen oder Talismanen bzw. eine magische Standarte (Regelbuch S: 154, Armeeliste Chaoszwerge). Je ein magischer Gegenstand je Kategorie oder eine magische Standarte sind mögl. Wähle einen Wert aus der Liste aus!" errorTitle="Du willst die Chaos-Dawi führen?" error="Den ausgewählten Wert gibt es nicht! Verwende die Liste!" sqref="V41 V44">
      <formula1>$Q$175:$Q$205</formula1>
    </dataValidation>
    <dataValidation type="list" allowBlank="1" showInputMessage="1" showErrorMessage="1" promptTitle="Wolf" prompt="Bitte wähle die Anzahl der Wölfe aus der Liste aus, auf denen die Hobgoblin Bosse reiten reiten!" errorTitle="So viele?!?" error="Mehr als drei? Was für eine Armee! Bitte wähle aus der Liste aus!" sqref="B55">
      <formula1>$A$147:$A$150</formula1>
    </dataValidation>
    <dataValidation type="list" allowBlank="1" showInputMessage="1" showErrorMessage="1" promptTitle="Riesentaurus" prompt="Bitte wähle die Anzahl der Riesentauri aus der Liste aus, auf denen die Chaoszwergen Tyranne reiten!" errorTitle="So viele?!?" error="Mehr als drei? Was für eine Armee! Bitte wähle aus der Liste aus!" sqref="B13">
      <formula1>$A$147:$A$150</formula1>
    </dataValidation>
    <dataValidation type="list" allowBlank="1" showInputMessage="1" showErrorMessage="1" promptTitle="Rüstung" prompt="Bitte wähle aus der Liste aus, ob der Charakter oder der Krieger keine oder eine leichte Rüstung (L)." errorTitle="Dusel!" error="Charakter oder Einheiten können nur die in der Liste aufgeführten Rüstungen tragen." sqref="Q66 Q69 Q72 Q76 Q89 Q92">
      <formula1>$C$161:$C$162</formula1>
    </dataValidation>
    <dataValidation type="list" allowBlank="1" showInputMessage="1" showErrorMessage="1" promptTitle="Anzahl der Hobgoblins" prompt="Bitte wähle die Anzahl aller Hobgoblins in allen Einheiten dieser Truppengattung aus!" errorTitle="Da stimmt was nicht!" error="Bitte wähle die Truppenstärke aus der Liste aus!" sqref="B66 B69">
      <formula1>$A$161:$A$203</formula1>
    </dataValidation>
    <dataValidation type="list" allowBlank="1" showInputMessage="1" showErrorMessage="1" promptTitle="Anzahl der Champions" prompt="Bitte wähle die Anzahl aller bei den Hobgoblins eingesetzten Champions aus der Liste aus!" errorTitle="So viele?!?" error="Mehr als drei? Was für eine Armee! Bitte wähle aus der Liste aus!" sqref="B100">
      <formula1>$A$147:$A$150</formula1>
    </dataValidation>
    <dataValidation type="list" allowBlank="1" showInputMessage="1" showErrorMessage="1" promptTitle="Rüstung" prompt="Bitte wähle aus der Liste aus, ob der Charakter oder der Krieger eine leichte Rüstung (L) oder eine schwere Rüstung (S) trägt." errorTitle="Dusel!" error="Charakter oder Einheiten können nur die in der Liste aufgeführten Rüstungen tragen." sqref="Q111">
      <formula1>$C$162:$C$163</formula1>
    </dataValidation>
    <dataValidation type="list" allowBlank="1" showInputMessage="1" showErrorMessage="1" promptTitle="Stierzentauren" prompt="Wenn Stierzentauren an der Schlacht teilnehmen, wähle bitte die Anzahl der eingesetzten Stierzentauren aus der Liste aus!" errorTitle="Mannoman!" error="Soviele hast Du nicht! Wähle bitte die Anzahl der Stierzentauren aus der Liste aus!" sqref="B111">
      <formula1>$A$208:$A$255</formula1>
    </dataValidation>
    <dataValidation type="list" allowBlank="1" showInputMessage="1" showErrorMessage="1" promptTitle="Anzahl der Champions" prompt="Bitte wähle die Anzahl aller bei den Stierzentauren eingesetzten Champions aus der Liste aus!" errorTitle="So viele?!?" error="Mehr als drei? Was für eine Armee! Bitte wähle aus der Liste aus!" sqref="B112">
      <formula1>$A$147:$A$150</formula1>
    </dataValidation>
    <dataValidation type="list" allowBlank="1" showInputMessage="1" showErrorMessage="1" promptTitle="Anzahl der Tremor-Kanonen" prompt="Bitte wähle die Anzahl aller eingesetzten Tremor-Kanonen dieser Truppengattung aus der Liste aus!" errorTitle="So viele?!?" error="Mehr als drei? Was für eine Armee! Bitte wähle aus der Liste aus!" sqref="B115">
      <formula1>$A$147:$A$150</formula1>
    </dataValidation>
    <dataValidation type="list" allowBlank="1" showInputMessage="1" showErrorMessage="1" promptTitle="magische Standarte" prompt="Wähle eine magische Standarte aus: Den Kriegsbanner (Regelbuch S. 154; 25 P) oder den Skavenbanner (Armeeliste Chaoszwerge; 50 P)." errorTitle="Kann nicht sein!" error="Den ausgewählte Wert für eine magische Standarte gibt es nicht! Verwende die Liste!" sqref="V111 V58 V61">
      <formula1>$Q$163:$Q$165</formula1>
    </dataValidation>
    <dataValidation type="list" allowBlank="1" showInputMessage="1" showErrorMessage="1" promptTitle="Anzahl der Fiese Gitze" prompt="Bitte wähle die Anzahl aller Fiese Gitze in allen Einheiten dieser Truppengattung aus!" errorTitle="Da stimmt was nicht!" error="Bitte wähle die Truppenstärke aus der Liste aus!" sqref="B99">
      <formula1>$A$161:$A$203</formula1>
    </dataValidation>
    <dataValidation type="list" allowBlank="1" showInputMessage="1" showErrorMessage="1" promptTitle="Anzahl der Goblins" prompt="Bitte wähle die Anzahl aller Goblins in allen Einheiten dieser Truppengattung aus!" errorTitle="Da stimmt was nicht!" error="Bitte wähle die Truppenstärke aus der Liste aus!" sqref="B89 B92">
      <formula1>$C$214:$C$276</formula1>
    </dataValidation>
    <dataValidation type="list" allowBlank="1" showInputMessage="1" showErrorMessage="1" promptTitle="Anzahl der Goblin-Bosse" prompt="Bitte wähle die Anzahl aller bei den Goblins eingesetzten Goblin-Bosse aus der Liste aus!" errorTitle="So viele?!?" error="Mehr als drei? Was für eine Armee! Bitte wähle aus der Liste aus!" sqref="B90 B93">
      <formula1>$A$147:$A$150</formula1>
    </dataValidation>
    <dataValidation type="list" allowBlank="1" showInputMessage="1" showErrorMessage="1" promptTitle="Anzahl der Veteranen" prompt="Bitte wähle die Anzahl aller bei den Chaoszwergen eingesetzten Veteranen aus der Liste aus!" errorTitle="So viele?!?" error="Mehr als drei? Was für eine Armee! Bitte wähle aus der Liste aus!" sqref="B59">
      <formula1>$A$147:$A$150</formula1>
    </dataValidation>
    <dataValidation type="list" allowBlank="1" showInputMessage="1" showErrorMessage="1" promptTitle="Anzahl der Veteranen" prompt="Bitte wähle die Anzahl aller bei den Chaoszwergen mit Donnerbüchsen eingesetzten Veteranen aus der Liste aus!" errorTitle="So viele?!?" error="Mehr als drei? Was für eine Armee! Bitte wähle aus der Liste aus!" sqref="B62">
      <formula1>$A$147:$A$150</formula1>
    </dataValidation>
    <dataValidation type="list" allowBlank="1" showInputMessage="1" showErrorMessage="1" promptTitle="Anzahl der Donnerbüchsen-Zwerge" prompt="Bitte wähle die Anzahl aller Chaoszwerge mit Donnerbüchsen in allen Einheiten dieser Truppengattung aus!" errorTitle="Da stimmt was nicht!" error="Bitte wähle die Truppenstärke aus der Liste aus!" sqref="B61">
      <formula1>$A$161:$A$203</formula1>
    </dataValidation>
    <dataValidation type="list" allowBlank="1" showInputMessage="1" showErrorMessage="1" promptTitle="Anzahl der Hoboblin-Bosse" prompt="Bitte wähle die Anzahl aller bei den Hobgoblins eingesetzten Hoboblin-Bosse aus der Liste aus!" errorTitle="So viele?!?" error="Mehr als drei? Was für eine Armee! Bitte wähle aus der Liste aus!" sqref="B67 B70 B73 B77">
      <formula1>$A$147:$A$150</formula1>
    </dataValidation>
    <dataValidation type="list" allowBlank="1" showInputMessage="1" showErrorMessage="1" promptTitle="Anzahl der Hobgoblin-Wolfsreiter" prompt="Bitte wähle die Anzahl aller Hobgoblin-Wolfsreiter in allen Einheiten dieser Truppengattung aus!" errorTitle="Da stimmt was nicht!" error="Bitte wähle die Truppenstärke aus der Liste aus!" sqref="B72 B76">
      <formula1>$A$208:$A$255</formula1>
    </dataValidation>
    <dataValidation type="list" allowBlank="1" showInputMessage="1" showErrorMessage="1" promptTitle="Speer" prompt="Bitte lege mit Hilfe der Liste fest, ob die Goblins zusätzlich einen Speer erhalten (1 P). Wenn sie einen Speer erhalten, wähle 1 aus der Liste, ansonsten -!" errorTitle="Dusel!" error="Die Krieger können entweder einen Speer tragen oder nicht! Wähle aus der Liste aus!" sqref="Z89">
      <formula1>$J$153:$J$154</formula1>
    </dataValidation>
    <dataValidation type="list" allowBlank="1" showInputMessage="1" showErrorMessage="1" promptTitle="Speer" prompt="Bitte lege mit Hilfe der Liste fest, ob die Ork-Krieger zusätzlich einen Speer erhalten (2 P). Wenn sie einen Speer erhalten, wähle 1 aus der Liste, ansonsten -!" errorTitle="Dusel!" error="Die Krieger können entweder einen Speer tragen oder nicht! Wähle aus der Liste aus!" sqref="Z81">
      <formula1>$J$153:$J$154</formula1>
    </dataValidation>
    <dataValidation type="list" allowBlank="1" showInputMessage="1" showErrorMessage="1" promptTitle="magische Standarte" prompt="Wähle eine magische Standarte bis 50 P. aus: aus der Armeeliste der Orks Kriegerische Horden, den Kriegsbanner (Regelbuch S. 154; 25 P) oder den Skavenbanner (Armeeliste Chaoszwerge; 50 P)." errorTitle="Kann nicht sein!" error="Den ausgewählte Wert für eine magische Standarte gibt es nicht! Verwende die Liste!" sqref="V95">
      <formula1>$F$190:$F$195</formula1>
    </dataValidation>
    <dataValidation type="list" allowBlank="1" showInputMessage="1" showErrorMessage="1" promptTitle="Speer" prompt="Bitte lege mit Hilfe der Liste fest, ob die Schwarzorks zusätzlich einen Speer erhalten (2 P). Wenn sie einen Speer erhalten, wähle 1 aus der Liste, ansonsten -!" errorTitle="Dusel!" error="Die Krieger können entweder einen Speer tragen oder nicht! Wähle aus der Liste aus!" sqref="Z95">
      <formula1>$J$153:$J$154</formula1>
    </dataValidation>
    <dataValidation type="list" allowBlank="1" showInputMessage="1" showErrorMessage="1" promptTitle="Hellebarde" prompt="Bitte lege mit Hilfe der Liste fest, ob die Schwarzorks zusätzlich eine Hellebarde erhalten (2 P). Wenn sie eine Hellebarde erhalten, wähle 1 aus der Liste, ansonsten -!" errorTitle="Dusel!" error="Die Krieger können entweder einen Speer tragen oder nicht! Wähle aus der Liste aus!" sqref="AB95">
      <formula1>$J$153:$J$154</formula1>
    </dataValidation>
    <dataValidation type="list" allowBlank="1" showInputMessage="1" showErrorMessage="1" promptTitle="Hellebarde" prompt="Bitte lege mit Hilfe der Liste fest, ob die Orks zusätzlich eine Hellebarde erhalten (2 P). Wenn sie eine Hellebarde erhalten, wähle 1 aus der Liste, ansonsten -!" errorTitle="Dusel!" error="Die Krieger können entweder einen Speer tragen oder nicht! Wähle aus der Liste aus!" sqref="AB81">
      <formula1>$J$153:$J$154</formula1>
    </dataValidation>
    <dataValidation type="list" allowBlank="1" showInputMessage="1" showErrorMessage="1" promptTitle="Hellebarde" prompt="Bitte lege mit Hilfe der Liste fest, ob die Orks zusätzlich eine Hellebarde erhalten (2 P). Wenn sie eine Hellebarde erhalten, wähle 1 aus der Liste, ansonsten -!" errorTitle="Dusel!" error="Die Krieger können entweder einen Speer tragen oder nicht! Wähle aus der Liste aus!" sqref="AB85">
      <formula1>$J$153:$J$154</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2005-12-14T12:25:16Z</cp:lastPrinted>
  <dcterms:created xsi:type="dcterms:W3CDTF">2005-07-06T06:26:40Z</dcterms:created>
  <dcterms:modified xsi:type="dcterms:W3CDTF">2008-06-20T10:42:33Z</dcterms:modified>
  <cp:category/>
  <cp:version/>
  <cp:contentType/>
  <cp:contentStatus/>
</cp:coreProperties>
</file>