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396" windowWidth="25520" windowHeight="15620" activeTab="0"/>
  </bookViews>
  <sheets>
    <sheet name="Armeebogen" sheetId="1" r:id="rId1"/>
  </sheets>
  <definedNames>
    <definedName name="Arkhan">'Armeebogen'!$Y$367:$Z$368</definedName>
    <definedName name="Buried">'Armeebogen'!$Y$360:$AB$361</definedName>
    <definedName name="Mount">'Armeebogen'!$Y$319:$AO$327</definedName>
    <definedName name="Nekrolithkoloss">'Armeebogen'!$Y$343:$Z$344</definedName>
    <definedName name="Ruestung">'Armeebogen'!$Y$286:$Z$289</definedName>
    <definedName name="Ruestung2">'Armeebogen'!$Y$286:$Z$291</definedName>
    <definedName name="RuestungKavallerie2">'Armeebogen'!$AA$286:$AB$290</definedName>
    <definedName name="RW">'Armeebogen'!$Y$295:$Z$301</definedName>
    <definedName name="RWKavallerie">'Armeebogen'!$AA$295:$AB$300</definedName>
    <definedName name="Schaedel">'Armeebogen'!$Y$354:$Z$355</definedName>
    <definedName name="Sphinx">'Armeebogen'!$Y$348:$Z$350</definedName>
    <definedName name="Waffe">'Armeebogen'!$Y$331:$AC$338</definedName>
  </definedNames>
  <calcPr fullCalcOnLoad="1"/>
</workbook>
</file>

<file path=xl/sharedStrings.xml><?xml version="1.0" encoding="utf-8"?>
<sst xmlns="http://schemas.openxmlformats.org/spreadsheetml/2006/main" count="886" uniqueCount="333">
  <si>
    <r>
      <t>Seelenernter</t>
    </r>
    <r>
      <rPr>
        <sz val="10"/>
        <rFont val="Arial"/>
        <family val="0"/>
      </rPr>
      <t xml:space="preserve"> Beginn Charakter,alle TW + VW wiederholen</t>
    </r>
  </si>
  <si>
    <r>
      <t xml:space="preserve">Schädelflegel </t>
    </r>
    <r>
      <rPr>
        <sz val="10"/>
        <rFont val="Arial"/>
        <family val="0"/>
      </rPr>
      <t>1. Runde S=2; immer Multiple LP=2</t>
    </r>
  </si>
  <si>
    <r>
      <t xml:space="preserve">Settras Schiedskämpfer </t>
    </r>
    <r>
      <rPr>
        <sz val="10"/>
        <rFont val="Arial"/>
        <family val="0"/>
      </rPr>
      <t>Immer Herausforderungen anne.</t>
    </r>
  </si>
  <si>
    <t>und aussprechen, in Herausforderung Ret=5+, Todesstoß 5+</t>
  </si>
  <si>
    <r>
      <t xml:space="preserve">Bote der Verzweiflung </t>
    </r>
    <r>
      <rPr>
        <sz val="10"/>
        <rFont val="Arial"/>
        <family val="0"/>
      </rPr>
      <t>Gegner Basekontakt Angsttest</t>
    </r>
  </si>
  <si>
    <t>3W6, niedrigsten ignorien</t>
  </si>
  <si>
    <t>Lehre von Nehekhara, Lehre des Lichts &amp; Todes</t>
  </si>
  <si>
    <t xml:space="preserve">Nehekharanische Untote, Meister der Lehre von </t>
  </si>
  <si>
    <r>
      <t>Nehekhara, Großhierophant von Khemri</t>
    </r>
    <r>
      <rPr>
        <sz val="10"/>
        <rFont val="Arial"/>
        <family val="0"/>
      </rPr>
      <t xml:space="preserve"> muß </t>
    </r>
  </si>
  <si>
    <r>
      <t xml:space="preserve">Hierphant sein </t>
    </r>
    <r>
      <rPr>
        <b/>
        <sz val="11"/>
        <rFont val="Arial"/>
        <family val="0"/>
      </rPr>
      <t>Totenstab</t>
    </r>
    <r>
      <rPr>
        <sz val="10"/>
        <rFont val="Arial"/>
        <family val="0"/>
      </rPr>
      <t xml:space="preserve"> kann 1x pro Spielzug Zauberwurf </t>
    </r>
  </si>
  <si>
    <r>
      <t xml:space="preserve">wiederh., auch bei Totaler Energie </t>
    </r>
    <r>
      <rPr>
        <b/>
        <sz val="11"/>
        <rFont val="Arial"/>
        <family val="0"/>
      </rPr>
      <t>Schriftrolle des Fluch</t>
    </r>
  </si>
  <si>
    <r>
      <t>wortes</t>
    </r>
    <r>
      <rPr>
        <sz val="10"/>
        <rFont val="Arial"/>
        <family val="0"/>
      </rPr>
      <t xml:space="preserve"> 1x anstelle bannen, Zauber geht durch, Zauberer</t>
    </r>
  </si>
  <si>
    <t>W-Test, verpatzt keine weiteren Zauber mehr, verpatzt mit 6 =</t>
  </si>
  <si>
    <t>LP = -W3, keine Schutzwürfe</t>
  </si>
  <si>
    <r>
      <t>Haß Vampirfürsten</t>
    </r>
    <r>
      <rPr>
        <sz val="10"/>
        <rFont val="Arial"/>
        <family val="0"/>
      </rPr>
      <t xml:space="preserve"> TW wiederh. </t>
    </r>
    <r>
      <rPr>
        <b/>
        <sz val="11"/>
        <rFont val="Arial"/>
        <family val="0"/>
      </rPr>
      <t>Giftattacken</t>
    </r>
    <r>
      <rPr>
        <sz val="10"/>
        <rFont val="Arial"/>
        <family val="0"/>
      </rPr>
      <t xml:space="preserve"> TW = 6</t>
    </r>
  </si>
  <si>
    <r>
      <t xml:space="preserve">Beschuß berteilen, in Herausforderung nur Gegner </t>
    </r>
    <r>
      <rPr>
        <b/>
        <sz val="11"/>
        <color indexed="10"/>
        <rFont val="Arial"/>
        <family val="0"/>
      </rPr>
      <t>ASF</t>
    </r>
  </si>
  <si>
    <r>
      <t>Vipernstab</t>
    </r>
    <r>
      <rPr>
        <sz val="10"/>
        <rFont val="Arial"/>
        <family val="0"/>
      </rPr>
      <t xml:space="preserve"> Gebunder Zauber Stufe 5: geschoßzauber 24"</t>
    </r>
  </si>
  <si>
    <r>
      <t xml:space="preserve">2W6 S=4 </t>
    </r>
    <r>
      <rPr>
        <b/>
        <sz val="11"/>
        <rFont val="Arial"/>
        <family val="0"/>
      </rPr>
      <t>Verkörperung der Viperngöttin</t>
    </r>
    <r>
      <rPr>
        <sz val="10"/>
        <rFont val="Arial"/>
        <family val="0"/>
      </rPr>
      <t xml:space="preserve"> Giftattacken</t>
    </r>
  </si>
  <si>
    <t>BF Khalida, Pfeile haben Giftattacken TW=6</t>
  </si>
  <si>
    <r>
      <t>Bildhauer</t>
    </r>
    <r>
      <rPr>
        <sz val="10"/>
        <rFont val="Arial"/>
        <family val="0"/>
      </rPr>
      <t xml:space="preserve"> 1 Einh. zufällige belebte Konstrukte RW wiederh. </t>
    </r>
  </si>
  <si>
    <r>
      <t xml:space="preserve">Nehekharanische Untote, Regeneration </t>
    </r>
    <r>
      <rPr>
        <sz val="10"/>
        <rFont val="Arial"/>
        <family val="0"/>
      </rPr>
      <t xml:space="preserve">4+ </t>
    </r>
    <r>
      <rPr>
        <b/>
        <sz val="11"/>
        <rFont val="Arial"/>
        <family val="0"/>
      </rPr>
      <t>Fliegen</t>
    </r>
  </si>
  <si>
    <r>
      <t>Entsetzen, Geländeerfahren</t>
    </r>
    <r>
      <rPr>
        <sz val="10"/>
        <rFont val="Arial"/>
        <family val="0"/>
      </rPr>
      <t xml:space="preserve"> gefährl. Gelände-Test ok</t>
    </r>
  </si>
  <si>
    <t xml:space="preserve">Restl. Bew. Marker, Artillerie- + Abweichungswürfel, </t>
  </si>
  <si>
    <r>
      <t xml:space="preserve">Begraben unter dem Sand </t>
    </r>
    <r>
      <rPr>
        <sz val="10"/>
        <rFont val="Arial"/>
        <family val="0"/>
      </rPr>
      <t>Restl. Bew. Marker, Artillerie-</t>
    </r>
  </si>
  <si>
    <t>+ Abweichungswürfel, agieren,nicht angreifen, min.1" Abstand</t>
  </si>
  <si>
    <t>Nehekharanische Untote, Belebtes Konstrukt, Entsetzen</t>
  </si>
  <si>
    <t>Monster, Niederwalzen W6 autom.Tref. S=5, ASL</t>
  </si>
  <si>
    <r>
      <t>Monster, Niederwalzen</t>
    </r>
    <r>
      <rPr>
        <sz val="10"/>
        <rFont val="Arial"/>
        <family val="0"/>
      </rPr>
      <t xml:space="preserve"> W6 autom.Tref. S=5, ASL</t>
    </r>
  </si>
  <si>
    <r>
      <t>Giftstachel</t>
    </r>
    <r>
      <rPr>
        <sz val="10"/>
        <rFont val="Arial"/>
        <family val="0"/>
      </rPr>
      <t xml:space="preserve"> Giftattacken TW=6 =&gt; automatischer Treffer</t>
    </r>
  </si>
  <si>
    <r>
      <t xml:space="preserve">Fliegen, Enthauptung </t>
    </r>
    <r>
      <rPr>
        <sz val="10"/>
        <rFont val="Arial"/>
        <family val="0"/>
      </rPr>
      <t>1 Attacke S=10, Heldenhafter KB</t>
    </r>
  </si>
  <si>
    <t>Regeln</t>
  </si>
  <si>
    <t>Reittier</t>
  </si>
  <si>
    <t>3+</t>
  </si>
  <si>
    <t>1+</t>
  </si>
  <si>
    <t>Energiewürfel:</t>
  </si>
  <si>
    <t>Standartenrunen</t>
  </si>
  <si>
    <t>Magier-Stufe</t>
  </si>
  <si>
    <t>Armeestandarte</t>
  </si>
  <si>
    <t>S</t>
  </si>
  <si>
    <r>
      <t xml:space="preserve">Nehekharanische Untote, Brennbar, </t>
    </r>
    <r>
      <rPr>
        <b/>
        <sz val="11"/>
        <color indexed="10"/>
        <rFont val="Arial"/>
        <family val="0"/>
      </rPr>
      <t xml:space="preserve">Haß </t>
    </r>
    <r>
      <rPr>
        <sz val="10"/>
        <color indexed="10"/>
        <rFont val="Arial"/>
        <family val="0"/>
      </rPr>
      <t>TW wiederh.</t>
    </r>
  </si>
  <si>
    <r>
      <t xml:space="preserve">Zorndes Schöpfers </t>
    </r>
    <r>
      <rPr>
        <sz val="10"/>
        <rFont val="Arial"/>
        <family val="0"/>
      </rPr>
      <t>Haß ganze Einheit</t>
    </r>
    <r>
      <rPr>
        <b/>
        <sz val="11"/>
        <rFont val="Arial"/>
        <family val="0"/>
      </rPr>
      <t xml:space="preserve"> Steinformer</t>
    </r>
  </si>
  <si>
    <t>Belebte Konstrukte ≤ 12 Zoll = Regeneration (6+)</t>
  </si>
  <si>
    <t>Nehekharanische Untote, kann Hierophant sein</t>
  </si>
  <si>
    <t xml:space="preserve">Nehekharanische Untote, Brennbar, Todesstoß </t>
  </si>
  <si>
    <t>4/5</t>
  </si>
  <si>
    <r>
      <t xml:space="preserve">Beschuß berteilen, in Herausforderung nur Gegner; </t>
    </r>
    <r>
      <rPr>
        <b/>
        <sz val="11"/>
        <rFont val="Arial"/>
        <family val="0"/>
      </rPr>
      <t>Lehre</t>
    </r>
  </si>
  <si>
    <r>
      <t>des Todes, kann Hierophant sein,</t>
    </r>
    <r>
      <rPr>
        <sz val="10"/>
        <rFont val="Arial"/>
        <family val="0"/>
      </rPr>
      <t xml:space="preserve"> </t>
    </r>
    <r>
      <rPr>
        <b/>
        <sz val="11"/>
        <rFont val="Arial"/>
        <family val="0"/>
      </rPr>
      <t>Grabklinge des</t>
    </r>
  </si>
  <si>
    <r>
      <t>Arkhan</t>
    </r>
    <r>
      <rPr>
        <sz val="10"/>
        <rFont val="Arial"/>
        <family val="0"/>
      </rPr>
      <t xml:space="preserve"> Je Wunde Einheit 1 LP zurück </t>
    </r>
    <r>
      <rPr>
        <b/>
        <sz val="11"/>
        <rFont val="Arial"/>
        <family val="0"/>
      </rPr>
      <t>Stab des Nagash</t>
    </r>
  </si>
  <si>
    <t xml:space="preserve">Ende gegn. Magiephase bis 3 Bannwürfel speichern, dann </t>
  </si>
  <si>
    <r>
      <t xml:space="preserve">zum Zaubern benutzen </t>
    </r>
    <r>
      <rPr>
        <b/>
        <sz val="11"/>
        <rFont val="Arial"/>
        <family val="0"/>
      </rPr>
      <t>Liber Mortis</t>
    </r>
    <r>
      <rPr>
        <sz val="10"/>
        <rFont val="Arial"/>
        <family val="0"/>
      </rPr>
      <t xml:space="preserve"> Zauberer Stufe 5</t>
    </r>
  </si>
  <si>
    <r>
      <t xml:space="preserve">Beschuß berteilen, in Herausforderung nur Gegner </t>
    </r>
    <r>
      <rPr>
        <b/>
        <sz val="11"/>
        <rFont val="Arial"/>
        <family val="0"/>
      </rPr>
      <t>Settra</t>
    </r>
  </si>
  <si>
    <t>Nehekhara, kann Hierophant sein, Die Krone</t>
  </si>
  <si>
    <r>
      <t>Nehekharas</t>
    </r>
    <r>
      <rPr>
        <sz val="10"/>
        <rFont val="Arial"/>
        <family val="0"/>
      </rPr>
      <t xml:space="preserve"> KG alle Einheiten ≤ 6" Skarabäenbrosche</t>
    </r>
  </si>
  <si>
    <r>
      <t>des Usirian</t>
    </r>
    <r>
      <rPr>
        <sz val="10"/>
        <rFont val="Arial"/>
        <family val="0"/>
      </rPr>
      <t xml:space="preserve"> RW,Ret = 4+ </t>
    </r>
    <r>
      <rPr>
        <b/>
        <sz val="11"/>
        <rFont val="Arial"/>
        <family val="0"/>
      </rPr>
      <t>Gesegnete Klinge des Ptra</t>
    </r>
  </si>
  <si>
    <t>Gruftschwärme</t>
  </si>
  <si>
    <t>Anzahl Helden, Kriegsmaschinen und Regimenter</t>
  </si>
  <si>
    <t>Ret = Rettungswurf</t>
  </si>
  <si>
    <t>Riesenslayer</t>
  </si>
  <si>
    <t>-</t>
  </si>
  <si>
    <t>Sonstige</t>
  </si>
  <si>
    <t>1(3)</t>
  </si>
  <si>
    <t>im Nahkampf  RW= +1 bei Handwaffe und Schild, RW = -1 bei Zweihandwaffe und Schild</t>
  </si>
  <si>
    <t>Besatzung</t>
  </si>
  <si>
    <t>H</t>
  </si>
  <si>
    <r>
      <t xml:space="preserve">Hellebarde </t>
    </r>
    <r>
      <rPr>
        <sz val="10"/>
        <rFont val="Arial"/>
        <family val="0"/>
      </rPr>
      <t xml:space="preserve">zweih. S=1 </t>
    </r>
    <r>
      <rPr>
        <b/>
        <sz val="11"/>
        <rFont val="Arial"/>
        <family val="0"/>
      </rPr>
      <t>Begraben unter dem Sand</t>
    </r>
  </si>
  <si>
    <r>
      <t xml:space="preserve">agieren, nicht angreifen, min. 1" Abstand </t>
    </r>
    <r>
      <rPr>
        <b/>
        <sz val="11"/>
        <rFont val="Arial"/>
        <family val="0"/>
      </rPr>
      <t>Sandfluch-Blick</t>
    </r>
  </si>
  <si>
    <r>
      <t xml:space="preserve">Giftattacken </t>
    </r>
    <r>
      <rPr>
        <sz val="10"/>
        <rFont val="Arial"/>
        <family val="0"/>
      </rPr>
      <t xml:space="preserve">TW=6, autom.Tr. </t>
    </r>
    <r>
      <rPr>
        <b/>
        <sz val="11"/>
        <rFont val="Arial"/>
        <family val="0"/>
      </rPr>
      <t>Begraben u. d. Sand</t>
    </r>
  </si>
  <si>
    <t>magis. Schußattacke 8", S=1, autom. Tr. Artilleriewürfel, VW</t>
  </si>
  <si>
    <t>Kein RW, Flammenattacken, Wunde Charakter o. Monster</t>
  </si>
  <si>
    <t>TW=-1 Für Rest Spiel, Beschuß und Nahkampf</t>
  </si>
  <si>
    <r>
      <t>der Große</t>
    </r>
    <r>
      <rPr>
        <sz val="10"/>
        <rFont val="Arial"/>
        <family val="0"/>
      </rPr>
      <t xml:space="preserve"> muß General sein, MW bis 18" </t>
    </r>
    <r>
      <rPr>
        <b/>
        <sz val="11"/>
        <rFont val="Arial"/>
        <family val="0"/>
      </rPr>
      <t>Lehre von</t>
    </r>
  </si>
  <si>
    <t>Sensenklingen W6+1 Aufpralltr. magisch, Flammenattacken</t>
  </si>
  <si>
    <r>
      <t xml:space="preserve">Entsetzen, Großes Ziel, Seelenbrücke </t>
    </r>
    <r>
      <rPr>
        <sz val="10"/>
        <rFont val="Arial"/>
        <family val="0"/>
      </rPr>
      <t>Zauberer ≤12"</t>
    </r>
  </si>
  <si>
    <r>
      <t>Skarabäenprinz</t>
    </r>
    <r>
      <rPr>
        <sz val="10"/>
        <rFont val="Arial"/>
        <family val="0"/>
      </rPr>
      <t xml:space="preserve"> Atemwaffe S=2; wenn tot, alle feindl.Einh</t>
    </r>
  </si>
  <si>
    <t>≤ 2W6 Zoll = 2W6 Treffer S=2, wie Beschuß verteilen</t>
  </si>
  <si>
    <r>
      <t xml:space="preserve">Einsamer Wiedergänger </t>
    </r>
    <r>
      <rPr>
        <sz val="10"/>
        <rFont val="Arial"/>
        <family val="0"/>
      </rPr>
      <t>Nie General, nie Einheit anschl.</t>
    </r>
  </si>
  <si>
    <t>TW gegen höchstes KG, bei Treffer 3"-Schablone an Base</t>
  </si>
  <si>
    <t>Infanterie, Bestien, Schwärme S=3, Loch S=9 Multi.LP=W3</t>
  </si>
  <si>
    <t>immer noch Niederwalzen</t>
  </si>
  <si>
    <r>
      <t>Flammendes Brüllen</t>
    </r>
    <r>
      <rPr>
        <sz val="10"/>
        <rFont val="Arial"/>
        <family val="0"/>
      </rPr>
      <t xml:space="preserve"> Atemwaffe S=4, Flammenattacken</t>
    </r>
  </si>
  <si>
    <t>12-60</t>
  </si>
  <si>
    <r>
      <t xml:space="preserve">Steinschleuder </t>
    </r>
    <r>
      <rPr>
        <sz val="10"/>
        <rFont val="Arial"/>
        <family val="0"/>
      </rPr>
      <t>S=3 Loch S=9, Multi LP=W6, Artilleriew.</t>
    </r>
  </si>
  <si>
    <t>+ Abweichungswürfel, indirektes Schießen Pfeil Treffersymbol</t>
  </si>
  <si>
    <t>Nehekharanische Untote, Kreischende Schädel</t>
  </si>
  <si>
    <t>Keine Aufwertung Schädelpatapult</t>
  </si>
  <si>
    <t>3(9)</t>
  </si>
  <si>
    <t>Beschuß magisch, Flammenattacken; bei Verlust MW-Test</t>
  </si>
  <si>
    <t>Keine Fernwaffe</t>
  </si>
  <si>
    <t>Flieger, Gehörnt, Monströse Bestie</t>
  </si>
  <si>
    <t>Bei Angriff S=+1, Niedertrampeln S=4</t>
  </si>
  <si>
    <r>
      <t xml:space="preserve">müssen normal verwunden </t>
    </r>
    <r>
      <rPr>
        <b/>
        <sz val="11"/>
        <rFont val="Arial"/>
        <family val="0"/>
      </rPr>
      <t>Asaphs Segen</t>
    </r>
    <r>
      <rPr>
        <sz val="10"/>
        <rFont val="Arial"/>
        <family val="0"/>
      </rPr>
      <t xml:space="preserve"> Einheit Bogen</t>
    </r>
  </si>
  <si>
    <t xml:space="preserve">Nehekharanische Untote, Brennbar, Der Fluch </t>
  </si>
  <si>
    <r>
      <t xml:space="preserve">Mein Wille geschehe </t>
    </r>
    <r>
      <rPr>
        <sz val="10"/>
        <rFont val="Arial"/>
        <family val="0"/>
      </rPr>
      <t>Einheit verwendet KG Prinz/König</t>
    </r>
  </si>
  <si>
    <t>Beschuß berteilen, in Herausforderung nur Gegner</t>
  </si>
  <si>
    <t xml:space="preserve">bei Tod alle beteiligten feindlichen Einh. W6 Treffer S=5, wie </t>
  </si>
  <si>
    <t xml:space="preserve">bei Tod alle beteiligten feindlichen Einh. W6 Treffer S=4, wie </t>
  </si>
  <si>
    <r>
      <t xml:space="preserve">Raserei </t>
    </r>
    <r>
      <rPr>
        <sz val="10"/>
        <rFont val="Arial"/>
        <family val="0"/>
      </rPr>
      <t>A=+1, immun Psych. immer verfolgen &amp; überrenn.</t>
    </r>
  </si>
  <si>
    <t>4(x)</t>
  </si>
  <si>
    <t>5(x)</t>
  </si>
  <si>
    <t>2(3)</t>
  </si>
  <si>
    <r>
      <t>Rasender Eifer</t>
    </r>
    <r>
      <rPr>
        <sz val="10"/>
        <rFont val="Arial"/>
        <family val="0"/>
      </rPr>
      <t xml:space="preserve"> verlieht Einheit Raserei </t>
    </r>
    <r>
      <rPr>
        <b/>
        <sz val="11"/>
        <rFont val="Arial"/>
        <family val="0"/>
      </rPr>
      <t>Meisterlicher</t>
    </r>
  </si>
  <si>
    <t>Prinz Apophas</t>
  </si>
  <si>
    <t>Ramhotep der Visionär</t>
  </si>
  <si>
    <t xml:space="preserve">Settra der </t>
  </si>
  <si>
    <t>Unvergängliche</t>
  </si>
  <si>
    <t>Hochkönigin Khalida</t>
  </si>
  <si>
    <t>Arkhan der Schwarze</t>
  </si>
  <si>
    <t>Großhierophant Khatep</t>
  </si>
  <si>
    <t>Gruftkönig</t>
  </si>
  <si>
    <t>würfel, normal agieren, nicht angr., min. 1" Abstand</t>
  </si>
  <si>
    <t>Begraben u.d. Sand Restl.Bew. Marker, Artill.+Abweich.</t>
  </si>
  <si>
    <r>
      <t xml:space="preserve">Nehekharanische Untote, Todesstoß </t>
    </r>
    <r>
      <rPr>
        <sz val="10"/>
        <rFont val="Arial"/>
        <family val="0"/>
      </rPr>
      <t>VW=6, nur Ret</t>
    </r>
  </si>
  <si>
    <t>Preis Einheit</t>
  </si>
  <si>
    <r>
      <t xml:space="preserve">Flegel </t>
    </r>
    <r>
      <rPr>
        <b/>
        <sz val="10"/>
        <color indexed="12"/>
        <rFont val="Arial"/>
        <family val="0"/>
      </rPr>
      <t>(zweihändig, 1. Runde S=+2)</t>
    </r>
  </si>
  <si>
    <r>
      <t xml:space="preserve">Speer </t>
    </r>
    <r>
      <rPr>
        <sz val="10"/>
        <color indexed="12"/>
        <rFont val="Arial"/>
        <family val="0"/>
      </rPr>
      <t>(1. Runde Angriff S=+1)</t>
    </r>
  </si>
  <si>
    <r>
      <t xml:space="preserve">Speer </t>
    </r>
    <r>
      <rPr>
        <sz val="10"/>
        <color indexed="12"/>
        <rFont val="Arial"/>
        <family val="0"/>
      </rPr>
      <t>(Tiefgestaffelter Kampf = +1 Glied)</t>
    </r>
  </si>
  <si>
    <t>Großes Ziel, Donnerschlag-Attacke (TW, 3" Schabl. an Base)</t>
  </si>
  <si>
    <t>Ersetzt Crew, Nehekharanische Untote, Gefährt der Könige</t>
  </si>
  <si>
    <t>Streitwagenlegion W6 Aufpralltr. S=4+Gliederbo.=3 Modelle</t>
  </si>
  <si>
    <r>
      <t xml:space="preserve">Zauberwurf =+W3 </t>
    </r>
    <r>
      <rPr>
        <b/>
        <sz val="11"/>
        <rFont val="Arial"/>
        <family val="0"/>
      </rPr>
      <t>Zeichen des Ptra</t>
    </r>
    <r>
      <rPr>
        <sz val="10"/>
        <rFont val="Arial"/>
        <family val="0"/>
      </rPr>
      <t xml:space="preserve"> Shems gleißender</t>
    </r>
  </si>
  <si>
    <r>
      <t>Usirian</t>
    </r>
    <r>
      <rPr>
        <sz val="10"/>
        <rFont val="Arial"/>
        <family val="0"/>
      </rPr>
      <t xml:space="preserve"> Seelraub(Tod), gebunder Zauber Stufe 4</t>
    </r>
  </si>
  <si>
    <r>
      <t xml:space="preserve">Strahl (Licht), gebunder Zauber Stufe 3 </t>
    </r>
    <r>
      <rPr>
        <b/>
        <sz val="11"/>
        <rFont val="Arial"/>
        <family val="0"/>
      </rPr>
      <t xml:space="preserve">Waagschalen des </t>
    </r>
  </si>
  <si>
    <t>Sphinxen</t>
  </si>
  <si>
    <t>Keine Aufwertung Sphinx</t>
  </si>
  <si>
    <r>
      <t xml:space="preserve">Entsetzen, Großes Ziel, Todesstoß </t>
    </r>
    <r>
      <rPr>
        <sz val="10"/>
        <rFont val="Arial"/>
        <family val="0"/>
      </rPr>
      <t>VW=6, nur Ret</t>
    </r>
  </si>
  <si>
    <t>Rü = Rüstung:   - / L / S/ Dr</t>
  </si>
  <si>
    <t>Dr</t>
  </si>
  <si>
    <t>Summe Kommandanten</t>
  </si>
  <si>
    <t>Summe Helden</t>
  </si>
  <si>
    <t>Summe Kern</t>
  </si>
  <si>
    <t>Summe Elite</t>
  </si>
  <si>
    <t>Summe Seltene</t>
  </si>
  <si>
    <t>Rw+</t>
  </si>
  <si>
    <t>Rettungs- und Rüstungswürfe</t>
  </si>
  <si>
    <t>Reich = Reichweite in Zoll</t>
  </si>
  <si>
    <t>ZW</t>
  </si>
  <si>
    <t>Rü</t>
  </si>
  <si>
    <t>Ret</t>
  </si>
  <si>
    <t>Sch</t>
  </si>
  <si>
    <t>KG</t>
  </si>
  <si>
    <t>BF</t>
  </si>
  <si>
    <t>LP</t>
  </si>
  <si>
    <t>RW Kavallerie</t>
  </si>
  <si>
    <t>Ab hier keine Zeilen mehr löschen!!!</t>
  </si>
  <si>
    <t>Schwarzer Drache</t>
  </si>
  <si>
    <t>sonstige Runen</t>
  </si>
  <si>
    <t>Summe:</t>
  </si>
  <si>
    <t>Preis Kommandant</t>
  </si>
  <si>
    <t>Standartenrunen Imperium</t>
  </si>
  <si>
    <t>RW</t>
  </si>
  <si>
    <t>Schwarzer Streitwagen</t>
  </si>
  <si>
    <t>Angst, Blödheit, Dickschuppig</t>
  </si>
  <si>
    <t>Reiter RW = +2</t>
  </si>
  <si>
    <t>4(6)</t>
  </si>
  <si>
    <t>ja nach Anzahl Regimenter</t>
  </si>
  <si>
    <r>
      <t>Schädel des Feindes</t>
    </r>
    <r>
      <rPr>
        <sz val="10"/>
        <rFont val="Arial"/>
        <family val="0"/>
      </rPr>
      <t xml:space="preserve"> MW-Test Treffer MW=-1</t>
    </r>
  </si>
  <si>
    <r>
      <t>VW = 6</t>
    </r>
    <r>
      <rPr>
        <b/>
        <sz val="11"/>
        <rFont val="Arial"/>
        <family val="0"/>
      </rPr>
      <t xml:space="preserve"> Eidgebundener Leibwächter </t>
    </r>
    <r>
      <rPr>
        <sz val="10"/>
        <rFont val="Arial"/>
        <family val="0"/>
      </rPr>
      <t>wenn nominierter</t>
    </r>
  </si>
  <si>
    <t>Gruftkönig/prinz Wunde (vor Schutzwürfen), W6: 2+ Wunde</t>
  </si>
  <si>
    <t>an Herold, nur 1x je Phase, nicht in Herausforderungen</t>
  </si>
  <si>
    <t>agieren, nicht angreifen, min. 1" Abstand</t>
  </si>
  <si>
    <r>
      <t xml:space="preserve">Nehekharanische Untote, Schwarm </t>
    </r>
    <r>
      <rPr>
        <sz val="10"/>
        <rFont val="Arial"/>
        <family val="0"/>
      </rPr>
      <t>Plänkler</t>
    </r>
  </si>
  <si>
    <t>St = Standarte:  - / 1 / 2 / 3</t>
  </si>
  <si>
    <t>Gruftwächter</t>
  </si>
  <si>
    <t>Hauptmann</t>
  </si>
  <si>
    <t>Ushabti</t>
  </si>
  <si>
    <t>Ehrwürdiger Ushabti</t>
  </si>
  <si>
    <t>Nekropolenritter</t>
  </si>
  <si>
    <t>Wächterschlangen</t>
  </si>
  <si>
    <t>Grabjäger</t>
  </si>
  <si>
    <t>Khemri Kriegssphinx</t>
  </si>
  <si>
    <t>Gruftskorpion</t>
  </si>
  <si>
    <t>Todesgeier</t>
  </si>
  <si>
    <t>Nehekharanische Untote, Bestien, Fliegen</t>
  </si>
  <si>
    <r>
      <t xml:space="preserve">Pfeile des Asaph </t>
    </r>
    <r>
      <rPr>
        <sz val="10"/>
        <rFont val="Arial"/>
        <family val="0"/>
      </rPr>
      <t>Keine Modifikation TW aus Schuß BF</t>
    </r>
  </si>
  <si>
    <r>
      <t>Bogen der Wüste</t>
    </r>
    <r>
      <rPr>
        <sz val="10"/>
        <rFont val="Arial"/>
        <family val="0"/>
      </rPr>
      <t xml:space="preserve"> Speerschleuder 48" S=6 Multi.LP=W3</t>
    </r>
  </si>
  <si>
    <t>Bei Angriff für jede Wunde A=+1, kumulierend, nicht Niederw.</t>
  </si>
  <si>
    <r>
      <t>Monster, Niederwalzen</t>
    </r>
    <r>
      <rPr>
        <sz val="10"/>
        <rFont val="Arial"/>
        <family val="0"/>
      </rPr>
      <t xml:space="preserve"> W6 autom.Tref. S=6, ASL</t>
    </r>
  </si>
  <si>
    <t>24", S=3, rüstungbr., Multiple Schüße 2</t>
  </si>
  <si>
    <t>Schädelkatapult</t>
  </si>
  <si>
    <t>Wächter der Lade</t>
  </si>
  <si>
    <t>Hüter der Lade</t>
  </si>
  <si>
    <t>Skelette</t>
  </si>
  <si>
    <t>Lade der verd. Seelen</t>
  </si>
  <si>
    <t>Nekrolith-Koloss</t>
  </si>
  <si>
    <t>Hierotitan</t>
  </si>
  <si>
    <t>Nekrosphinx</t>
  </si>
  <si>
    <t>geg. höchsten I, kein RW; Fehlfunktion LP=-W3, kein RW</t>
  </si>
  <si>
    <r>
      <t>Monströse Kavall. Niedertrampeln</t>
    </r>
    <r>
      <rPr>
        <sz val="10"/>
        <rFont val="Arial"/>
        <family val="0"/>
      </rPr>
      <t xml:space="preserve"> aut.Tref. S=5, ASL</t>
    </r>
  </si>
  <si>
    <r>
      <t xml:space="preserve">Giftattacken </t>
    </r>
    <r>
      <rPr>
        <sz val="10"/>
        <rFont val="Arial"/>
        <family val="0"/>
      </rPr>
      <t xml:space="preserve">TW=6, autom.Tr. </t>
    </r>
    <r>
      <rPr>
        <b/>
        <sz val="11"/>
        <rFont val="Arial"/>
        <family val="0"/>
      </rPr>
      <t xml:space="preserve">Steinhaut </t>
    </r>
    <r>
      <rPr>
        <sz val="10"/>
        <rFont val="Arial"/>
        <family val="0"/>
      </rPr>
      <t>RW=3+</t>
    </r>
  </si>
  <si>
    <t>Begraben unter dem Sand</t>
  </si>
  <si>
    <t>Keine Aufwertung</t>
  </si>
  <si>
    <t>Preis</t>
  </si>
  <si>
    <t>Restl. Bew. Marker, Artillerie- + Abweichungswürfel, normal</t>
  </si>
  <si>
    <r>
      <t xml:space="preserve">Speer </t>
    </r>
    <r>
      <rPr>
        <sz val="10"/>
        <rFont val="Arial"/>
        <family val="0"/>
      </rPr>
      <t xml:space="preserve">Angriff A=+1 </t>
    </r>
    <r>
      <rPr>
        <b/>
        <sz val="11"/>
        <rFont val="Arial"/>
        <family val="0"/>
      </rPr>
      <t xml:space="preserve">Todesstoß </t>
    </r>
    <r>
      <rPr>
        <sz val="10"/>
        <rFont val="Arial"/>
        <family val="0"/>
      </rPr>
      <t>VW=6, nur Ret</t>
    </r>
  </si>
  <si>
    <t>Kampfplattform, Entsetzen, Großes Ziel,</t>
  </si>
  <si>
    <r>
      <t xml:space="preserve">Donnerschlagattacke </t>
    </r>
    <r>
      <rPr>
        <sz val="10"/>
        <rFont val="Arial"/>
        <family val="0"/>
      </rPr>
      <t>Attacken tauschen Spezialattacke</t>
    </r>
  </si>
  <si>
    <t>Entsetzen, Großes Ziel, Unaufhaltsamer Angriff</t>
  </si>
  <si>
    <t>Anzahl Reiter</t>
  </si>
  <si>
    <t>Al Muktar</t>
  </si>
  <si>
    <t>MG</t>
  </si>
  <si>
    <t>Kein Reittier</t>
  </si>
  <si>
    <t>Rüstung Kavallerie</t>
  </si>
  <si>
    <t>Bärserker</t>
  </si>
  <si>
    <t>Slayerfertigkeiten Dämonenslayer</t>
  </si>
  <si>
    <t>L</t>
  </si>
  <si>
    <t>G</t>
  </si>
  <si>
    <t>Magierstufe</t>
  </si>
  <si>
    <t>5+</t>
  </si>
  <si>
    <t>3(4)</t>
  </si>
  <si>
    <t>Preis Komm.</t>
  </si>
  <si>
    <t>Kampfechse</t>
  </si>
  <si>
    <t>Schwarzer Pegasus</t>
  </si>
  <si>
    <t>Mu = Musiker:  - / 1 / 2 / 3</t>
  </si>
  <si>
    <t>Eingabefelder</t>
  </si>
  <si>
    <t>Sch = Schild:  - / 1</t>
  </si>
  <si>
    <t>Anzahl Krieger</t>
  </si>
  <si>
    <t>Besatzung Speerschleudern</t>
  </si>
  <si>
    <t>4+</t>
  </si>
  <si>
    <t>[5] = Stärke der Treffer durch Artillerie</t>
  </si>
  <si>
    <t>Atemattacke</t>
  </si>
  <si>
    <t>4(5)</t>
  </si>
  <si>
    <t>Waffe</t>
  </si>
  <si>
    <t>Seltene Einheiten</t>
  </si>
  <si>
    <t>MG = Punktezahl verwendeter Magie</t>
  </si>
  <si>
    <t>Priester des Todes</t>
  </si>
  <si>
    <t>Hohepriester des Todes</t>
  </si>
  <si>
    <t>Gruftprinz</t>
  </si>
  <si>
    <t>Nekrotekt</t>
  </si>
  <si>
    <t>Flieger, Großes Ziel, Terror, Haß Hochelfen</t>
  </si>
  <si>
    <t>Zwischespalte für RW</t>
  </si>
  <si>
    <t>EXTRAS</t>
  </si>
  <si>
    <t>Held</t>
  </si>
  <si>
    <t>H = Handwaffe:   - / 1 / 2</t>
  </si>
  <si>
    <t>Waldläufer</t>
  </si>
  <si>
    <t>Reich</t>
  </si>
  <si>
    <t>RU</t>
  </si>
  <si>
    <t>Preis Held</t>
  </si>
  <si>
    <t>Mu</t>
  </si>
  <si>
    <t>St</t>
  </si>
  <si>
    <t>RH</t>
  </si>
  <si>
    <t>Roßharnisch</t>
  </si>
  <si>
    <t>Skelettbogenreiter</t>
  </si>
  <si>
    <t>Meister der Späher</t>
  </si>
  <si>
    <t>Skelettpferd</t>
  </si>
  <si>
    <t>Skelettreiter</t>
  </si>
  <si>
    <t>Meister der Reiter</t>
  </si>
  <si>
    <t>Skelettbogenschützen</t>
  </si>
  <si>
    <t>Meister der Bögen</t>
  </si>
  <si>
    <t>Skelettkrieger</t>
  </si>
  <si>
    <t>Meister der Waffen</t>
  </si>
  <si>
    <t>Oger</t>
  </si>
  <si>
    <t>Nekaph der Herold</t>
  </si>
  <si>
    <t>Nehekharanische Untote, Streitwagenlegion</t>
  </si>
  <si>
    <r>
      <t xml:space="preserve">Speer </t>
    </r>
    <r>
      <rPr>
        <sz val="10"/>
        <rFont val="Arial"/>
        <family val="0"/>
      </rPr>
      <t xml:space="preserve">1. Runde Angriff S=+1 </t>
    </r>
    <r>
      <rPr>
        <b/>
        <sz val="11"/>
        <rFont val="Arial"/>
        <family val="0"/>
      </rPr>
      <t>Bogen</t>
    </r>
    <r>
      <rPr>
        <sz val="10"/>
        <rFont val="Arial"/>
        <family val="0"/>
      </rPr>
      <t xml:space="preserve"> 24" S=3 Salvenfeuer</t>
    </r>
  </si>
  <si>
    <r>
      <t xml:space="preserve">Gefährt der Könige </t>
    </r>
    <r>
      <rPr>
        <sz val="10"/>
        <rFont val="Arial"/>
        <family val="0"/>
      </rPr>
      <t>Charaktermodelle dürfen s. anschließ.</t>
    </r>
  </si>
  <si>
    <r>
      <t>W6 Aufpralltreffer</t>
    </r>
    <r>
      <rPr>
        <sz val="10"/>
        <rFont val="Arial"/>
        <family val="0"/>
      </rPr>
      <t xml:space="preserve"> S=4+Gliederbonus, 3 Modelle= 1 Glied</t>
    </r>
  </si>
  <si>
    <t>Nehekharanische Untote, Kundschafter</t>
  </si>
  <si>
    <r>
      <t>Gruftkönige von Khemri</t>
    </r>
    <r>
      <rPr>
        <sz val="14"/>
        <rFont val="Times New Roman"/>
        <family val="0"/>
      </rPr>
      <t xml:space="preserve"> (Armeebuch 2010, 8. Edition Warhammer)</t>
    </r>
  </si>
  <si>
    <t>Anzahl Speerschleudern</t>
  </si>
  <si>
    <t>Magier Stufe</t>
  </si>
  <si>
    <t>Volk: Dunkelelfen</t>
  </si>
  <si>
    <t>B</t>
  </si>
  <si>
    <t>W</t>
  </si>
  <si>
    <t>Handwaffe</t>
  </si>
  <si>
    <t>Slayerfertigkeiten Drachenslayer</t>
  </si>
  <si>
    <t>Anz.</t>
  </si>
  <si>
    <r>
      <t xml:space="preserve">Wenn Handwaffe/Schild </t>
    </r>
    <r>
      <rPr>
        <b/>
        <sz val="10"/>
        <rFont val="Arial"/>
        <family val="2"/>
      </rPr>
      <t>Parieren Ret=6+</t>
    </r>
  </si>
  <si>
    <r>
      <t>Monströse Infant. Niedertrampeln</t>
    </r>
    <r>
      <rPr>
        <sz val="10"/>
        <rFont val="Arial"/>
        <family val="0"/>
      </rPr>
      <t xml:space="preserve"> aut.Tref. S=4, ASL</t>
    </r>
  </si>
  <si>
    <r>
      <t>Großbögen (</t>
    </r>
    <r>
      <rPr>
        <sz val="10"/>
        <rFont val="Arial"/>
        <family val="0"/>
      </rPr>
      <t>30</t>
    </r>
    <r>
      <rPr>
        <sz val="10"/>
        <rFont val="Arial"/>
        <family val="0"/>
      </rPr>
      <t xml:space="preserve"> Zoll,S=6, Salvenfeuer)</t>
    </r>
  </si>
  <si>
    <r>
      <t xml:space="preserve">Giftattacken </t>
    </r>
    <r>
      <rPr>
        <sz val="10"/>
        <rFont val="Arial"/>
        <family val="0"/>
      </rPr>
      <t xml:space="preserve">TW=6, autom.Tr. </t>
    </r>
    <r>
      <rPr>
        <b/>
        <sz val="11"/>
        <rFont val="Arial"/>
        <family val="0"/>
      </rPr>
      <t xml:space="preserve">Todesstoß </t>
    </r>
    <r>
      <rPr>
        <sz val="10"/>
        <rFont val="Arial"/>
        <family val="0"/>
      </rPr>
      <t>VW=6, nur Ret</t>
    </r>
  </si>
  <si>
    <t>Magieresistenz 1, Begraben unter dem Sand</t>
  </si>
  <si>
    <r>
      <t>Monströse Bestie, Niedertrampeln</t>
    </r>
    <r>
      <rPr>
        <sz val="10"/>
        <rFont val="Arial"/>
        <family val="0"/>
      </rPr>
      <t xml:space="preserve"> aut.Tref. S=5, ASL</t>
    </r>
  </si>
  <si>
    <t xml:space="preserve">Restl. Bew. Marker, Artillerie- +r Abweichungswürfel, </t>
  </si>
  <si>
    <t>Monster, Niederwalzen W6 S=6</t>
  </si>
  <si>
    <t>Anzahl Besatzung Kriegsmaschinen</t>
  </si>
  <si>
    <t>Warhammer Armeeliste</t>
  </si>
  <si>
    <t xml:space="preserve">Punktzahl: </t>
  </si>
  <si>
    <t>2+</t>
  </si>
  <si>
    <t>6+</t>
  </si>
  <si>
    <t>Piratenslayer</t>
  </si>
  <si>
    <t>I</t>
  </si>
  <si>
    <t>A</t>
  </si>
  <si>
    <t>MW</t>
  </si>
  <si>
    <t>Wolfsreiter</t>
  </si>
  <si>
    <t>Rüstung</t>
  </si>
  <si>
    <t>Eliteeinheiten</t>
  </si>
  <si>
    <t>Bannwürfel:</t>
  </si>
  <si>
    <t>RW = Rüstungswurf bei Beschuß:</t>
  </si>
  <si>
    <t>Kerneinheiten</t>
  </si>
  <si>
    <t>Punkte</t>
  </si>
  <si>
    <t>Zweihandwaffe, Schild</t>
  </si>
  <si>
    <r>
      <t xml:space="preserve">Bogen </t>
    </r>
    <r>
      <rPr>
        <sz val="10"/>
        <rFont val="Arial"/>
        <family val="0"/>
      </rPr>
      <t>24" S=3 Salvenfeuer</t>
    </r>
    <r>
      <rPr>
        <b/>
        <sz val="11"/>
        <rFont val="Arial"/>
        <family val="0"/>
      </rPr>
      <t xml:space="preserve"> </t>
    </r>
    <r>
      <rPr>
        <b/>
        <sz val="11"/>
        <rFont val="Arial"/>
        <family val="0"/>
      </rPr>
      <t>Leichte Kavallerie</t>
    </r>
  </si>
  <si>
    <t>Schlacht: In den Staub mit Euch</t>
  </si>
  <si>
    <t>Seltene Einheiten  Artillerie</t>
  </si>
  <si>
    <r>
      <t xml:space="preserve">Nehekharanische Untote </t>
    </r>
    <r>
      <rPr>
        <u val="single"/>
        <sz val="10"/>
        <rFont val="Arial"/>
        <family val="0"/>
      </rPr>
      <t>(</t>
    </r>
    <r>
      <rPr>
        <u val="single"/>
        <sz val="11"/>
        <rFont val="Arial"/>
        <family val="2"/>
      </rPr>
      <t xml:space="preserve">Unerschütterlich, Instabil, </t>
    </r>
    <r>
      <rPr>
        <b/>
        <u val="single"/>
        <sz val="11"/>
        <color indexed="10"/>
        <rFont val="Arial"/>
        <family val="2"/>
      </rPr>
      <t>Angst</t>
    </r>
    <r>
      <rPr>
        <u val="single"/>
        <sz val="11"/>
        <rFont val="Arial"/>
        <family val="2"/>
      </rPr>
      <t>, niemals Marschieren, nur Angriff annehmen)</t>
    </r>
    <r>
      <rPr>
        <b/>
        <u val="single"/>
        <sz val="11"/>
        <rFont val="Arial"/>
        <family val="0"/>
      </rPr>
      <t xml:space="preserve">, Belebtes Konstrukt </t>
    </r>
    <r>
      <rPr>
        <u val="single"/>
        <sz val="10"/>
        <rFont val="Arial"/>
        <family val="0"/>
      </rPr>
      <t xml:space="preserve">(Rüstungswurf 5+, 1 LP weniger durch Instabilität) </t>
    </r>
    <r>
      <rPr>
        <b/>
        <u val="single"/>
        <sz val="11"/>
        <rFont val="Arial"/>
        <family val="0"/>
      </rPr>
      <t>Instabil</t>
    </r>
    <r>
      <rPr>
        <u val="single"/>
        <sz val="10"/>
        <rFont val="Arial"/>
        <family val="0"/>
      </rPr>
      <t xml:space="preserve"> (-1 LP je Niederlage Kampfgeschick)</t>
    </r>
  </si>
  <si>
    <r>
      <t xml:space="preserve">Armeestandarte </t>
    </r>
    <r>
      <rPr>
        <sz val="10"/>
        <rFont val="Arial"/>
        <family val="0"/>
      </rPr>
      <t>(≤ 12 Zoll Moralwerttest wiederholen)</t>
    </r>
  </si>
  <si>
    <t>das ist nicht freiwillig! KE=+1, 1 LP-Verlust weniger Instablität</t>
  </si>
  <si>
    <t>Streitwagen d. Götter</t>
  </si>
  <si>
    <t>Keine Aufwertung Skelettstreitwagen</t>
  </si>
  <si>
    <t>Fliegen Schnelle Bewegung, Plänkler, nicht marschie.</t>
  </si>
  <si>
    <t>Ersetzt Crew, Verzauberter Gegenstand</t>
  </si>
  <si>
    <r>
      <t xml:space="preserve">Nehekharanische Untote, Vorhut </t>
    </r>
    <r>
      <rPr>
        <sz val="10"/>
        <rFont val="Arial"/>
        <family val="0"/>
      </rPr>
      <t>Beweging bis 12"</t>
    </r>
  </si>
  <si>
    <r>
      <t xml:space="preserve">Speer </t>
    </r>
    <r>
      <rPr>
        <sz val="10"/>
        <rFont val="Arial"/>
        <family val="0"/>
      </rPr>
      <t>(1. Runde Angriff S=+1)</t>
    </r>
  </si>
  <si>
    <r>
      <t xml:space="preserve">Nehekharanische Untote Bogen </t>
    </r>
    <r>
      <rPr>
        <sz val="10"/>
        <rFont val="Arial"/>
        <family val="0"/>
      </rPr>
      <t>24" S=3 Salvenfeuer</t>
    </r>
  </si>
  <si>
    <t>Skelettstreitwagen</t>
  </si>
  <si>
    <t>Khemrische Kriegssphinx</t>
  </si>
  <si>
    <t>Gruftherold</t>
  </si>
  <si>
    <t>Nehekharanische Untote</t>
  </si>
  <si>
    <r>
      <t xml:space="preserve">Nehekharanische Untote,  Todesstoß </t>
    </r>
    <r>
      <rPr>
        <sz val="10"/>
        <rFont val="Arial"/>
        <family val="0"/>
      </rPr>
      <t>VW=6, nur Ret</t>
    </r>
  </si>
  <si>
    <t>Bund der Macht, Totenlicht, Entfesselte Seelen</t>
  </si>
  <si>
    <t>zerstört, jede Einheit ≤12" W6; 4+=W6 S=4, magi., kein RW;</t>
  </si>
  <si>
    <t>Angeborene Zauber Stufe 5, wenn nicht bewegt  + Hüter alive</t>
  </si>
  <si>
    <t>Direktschadenszauber ≤48", Ziel MW-Test 3W6, verpatzt -LP</t>
  </si>
  <si>
    <t>Differenz, kein RW; bei 3+ nächste Einheit ≤6", Einheit nur</t>
  </si>
  <si>
    <t>1x je Ziel je Magiephase</t>
  </si>
  <si>
    <t>Beginn eigene Magiephase Energiewürfel = +W3; wenn Lade</t>
  </si>
  <si>
    <r>
      <t xml:space="preserve">Hellebarde </t>
    </r>
    <r>
      <rPr>
        <sz val="10"/>
        <color indexed="12"/>
        <rFont val="Arial"/>
        <family val="0"/>
      </rPr>
      <t>(zweihändig, S=+1)</t>
    </r>
  </si>
  <si>
    <t>Skelett-Streitwagen</t>
  </si>
  <si>
    <t>Streitwagenlenker</t>
  </si>
  <si>
    <t>Skelettpferde</t>
  </si>
  <si>
    <t>Meister der Wagen</t>
  </si>
  <si>
    <t>Waffenrunen</t>
  </si>
  <si>
    <t>P</t>
  </si>
  <si>
    <t>ZW= Zweihandwaffe:  - / 1</t>
  </si>
  <si>
    <t>Kommandant</t>
  </si>
  <si>
    <t>Seraphon</t>
  </si>
  <si>
    <t>Giftatem: S=4, bei Verlust MW-Test=-1 KG,BF</t>
  </si>
  <si>
    <t>Ersetzt Crew-Mitglied, Speer (Angriff S=+1)</t>
  </si>
  <si>
    <t>Blödheit, Aufpralltreffer W6+1, S=5; Repetierarmbrust</t>
  </si>
  <si>
    <t>Waffen Nekrolith-Koloß</t>
  </si>
  <si>
    <t>Keine weitere Waffe</t>
  </si>
  <si>
    <t>Preis Nekrolith-Koloß</t>
  </si>
  <si>
    <t>Nehekharanische Untote, Belebtes Konstrukt</t>
  </si>
</sst>
</file>

<file path=xl/styles.xml><?xml version="1.0" encoding="utf-8"?>
<styleSheet xmlns="http://schemas.openxmlformats.org/spreadsheetml/2006/main">
  <numFmts count="4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quot;€&quot;;#,##0&quot;€&quot;"/>
    <numFmt numFmtId="189" formatCode="#,##0&quot;€&quot;;[Red]#,##0&quot;€&quot;"/>
    <numFmt numFmtId="190" formatCode="#,##0.00&quot;€&quot;;#,##0.00&quot;€&quot;"/>
    <numFmt numFmtId="191" formatCode="#,##0.00&quot;€&quot;;[Red]#,##0.00&quot;€&quot;"/>
    <numFmt numFmtId="192" formatCode="_ * #,##0&quot;€&quot;_ ;_ * #,##0&quot;€&quot;_ ;_ * &quot;-&quot;&quot;€&quot;_ ;_ @_ "/>
    <numFmt numFmtId="193" formatCode="_ * #,##0_€_ ;_ * #,##0_€_ ;_ * &quot;-&quot;_€_ ;_ @_ "/>
    <numFmt numFmtId="194" formatCode="_ * #,##0.00&quot;€&quot;_ ;_ * #,##0.00&quot;€&quot;_ ;_ * &quot;-&quot;??&quot;€&quot;_ ;_ @_ "/>
    <numFmt numFmtId="195" formatCode="_ * #,##0.00_€_ ;_ * #,##0.00_€_ ;_ * &quot;-&quot;??_€_ ;_ @_ "/>
    <numFmt numFmtId="196" formatCode="\$#,##0_);\(\$#,##0\)"/>
    <numFmt numFmtId="197" formatCode="\$#,##0_);[Red]\(\$#,##0\)"/>
    <numFmt numFmtId="198" formatCode="\$#,##0.00_);\(\$#,##0.00\)"/>
    <numFmt numFmtId="199" formatCode="\$#,##0.00_);[Red]\(\$#,##0.00\)"/>
  </numFmts>
  <fonts count="50">
    <font>
      <sz val="10"/>
      <name val="Arial"/>
      <family val="0"/>
    </font>
    <font>
      <b/>
      <sz val="10"/>
      <name val="Arial"/>
      <family val="2"/>
    </font>
    <font>
      <sz val="8"/>
      <name val="Arial"/>
      <family val="0"/>
    </font>
    <font>
      <u val="single"/>
      <sz val="12.5"/>
      <color indexed="12"/>
      <name val="Arial"/>
      <family val="0"/>
    </font>
    <font>
      <u val="single"/>
      <sz val="12.5"/>
      <color indexed="61"/>
      <name val="Arial"/>
      <family val="0"/>
    </font>
    <font>
      <sz val="10"/>
      <color indexed="12"/>
      <name val="Arial"/>
      <family val="0"/>
    </font>
    <font>
      <b/>
      <sz val="8"/>
      <name val="Arial"/>
      <family val="0"/>
    </font>
    <font>
      <b/>
      <sz val="11"/>
      <name val="Arial"/>
      <family val="0"/>
    </font>
    <font>
      <sz val="11"/>
      <name val="Arial"/>
      <family val="0"/>
    </font>
    <font>
      <b/>
      <sz val="12"/>
      <name val="Arial"/>
      <family val="0"/>
    </font>
    <font>
      <sz val="12"/>
      <name val="Arial"/>
      <family val="0"/>
    </font>
    <font>
      <sz val="10"/>
      <color indexed="10"/>
      <name val="Arial"/>
      <family val="0"/>
    </font>
    <font>
      <b/>
      <sz val="10"/>
      <color indexed="57"/>
      <name val="Arial"/>
      <family val="0"/>
    </font>
    <font>
      <b/>
      <sz val="14"/>
      <name val="Arial"/>
      <family val="0"/>
    </font>
    <font>
      <sz val="14"/>
      <name val="Arial"/>
      <family val="0"/>
    </font>
    <font>
      <b/>
      <sz val="9"/>
      <name val="Arial"/>
      <family val="0"/>
    </font>
    <font>
      <b/>
      <sz val="11"/>
      <color indexed="12"/>
      <name val="Arial"/>
      <family val="0"/>
    </font>
    <font>
      <sz val="12"/>
      <color indexed="9"/>
      <name val="Arial"/>
      <family val="0"/>
    </font>
    <font>
      <b/>
      <u val="single"/>
      <sz val="11"/>
      <name val="Arial"/>
      <family val="0"/>
    </font>
    <font>
      <b/>
      <sz val="14"/>
      <name val="Times New Roman"/>
      <family val="0"/>
    </font>
    <font>
      <sz val="14"/>
      <name val="Times New Roman"/>
      <family val="0"/>
    </font>
    <font>
      <b/>
      <sz val="36"/>
      <name val="Times New Roman"/>
      <family val="0"/>
    </font>
    <font>
      <u val="single"/>
      <sz val="11"/>
      <name val="Arial"/>
      <family val="2"/>
    </font>
    <font>
      <b/>
      <u val="single"/>
      <sz val="11"/>
      <color indexed="10"/>
      <name val="Arial"/>
      <family val="2"/>
    </font>
    <font>
      <u val="single"/>
      <sz val="10"/>
      <name val="Arial"/>
      <family val="0"/>
    </font>
    <font>
      <sz val="12"/>
      <color indexed="8"/>
      <name val="Calibri"/>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14"/>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52"/>
      <name val="Calibri"/>
      <family val="2"/>
    </font>
    <font>
      <sz val="12"/>
      <color indexed="10"/>
      <name val="Calibri"/>
      <family val="2"/>
    </font>
    <font>
      <b/>
      <sz val="12"/>
      <color indexed="9"/>
      <name val="Calibri"/>
      <family val="2"/>
    </font>
    <font>
      <b/>
      <sz val="12"/>
      <color indexed="8"/>
      <name val="Arial"/>
      <family val="0"/>
    </font>
    <font>
      <sz val="10"/>
      <color indexed="17"/>
      <name val="Arial"/>
      <family val="0"/>
    </font>
    <font>
      <sz val="10"/>
      <color indexed="61"/>
      <name val="Arial"/>
      <family val="0"/>
    </font>
    <font>
      <b/>
      <sz val="12"/>
      <color indexed="61"/>
      <name val="Arial"/>
      <family val="0"/>
    </font>
    <font>
      <b/>
      <sz val="10"/>
      <color indexed="61"/>
      <name val="Arial"/>
      <family val="2"/>
    </font>
    <font>
      <b/>
      <sz val="10"/>
      <color indexed="12"/>
      <name val="Arial"/>
      <family val="0"/>
    </font>
    <font>
      <b/>
      <sz val="11"/>
      <color indexed="10"/>
      <name val="Arial"/>
      <family val="0"/>
    </font>
    <font>
      <sz val="12"/>
      <color indexed="8"/>
      <name val="Arial"/>
      <family val="0"/>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mediumGray">
        <bgColor indexed="22"/>
      </patternFill>
    </fill>
    <fill>
      <patternFill patternType="mediumGray">
        <fgColor indexed="8"/>
      </patternFill>
    </fill>
    <fill>
      <patternFill patternType="mediumGray"/>
    </fill>
    <fill>
      <patternFill patternType="solid">
        <fgColor indexed="65"/>
        <bgColor indexed="64"/>
      </patternFill>
    </fill>
  </fills>
  <borders count="45">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n"/>
    </border>
    <border>
      <left>
        <color indexed="63"/>
      </left>
      <right style="medium"/>
      <top style="thin"/>
      <bottom style="thin"/>
    </border>
    <border>
      <left style="medium"/>
      <right style="medium"/>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style="thin"/>
      <bottom style="thin"/>
    </border>
    <border>
      <left>
        <color indexed="63"/>
      </left>
      <right style="medium"/>
      <top style="thin"/>
      <bottom>
        <color indexed="63"/>
      </bottom>
    </border>
    <border>
      <left style="medium"/>
      <right style="thin"/>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2" borderId="0" applyNumberFormat="0" applyBorder="0" applyAlignment="0" applyProtection="0"/>
    <xf numFmtId="0" fontId="25" fillId="5" borderId="0" applyNumberFormat="0" applyBorder="0" applyAlignment="0" applyProtection="0"/>
    <xf numFmtId="0" fontId="25" fillId="3"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3" borderId="0" applyNumberFormat="0" applyBorder="0" applyAlignment="0" applyProtection="0"/>
    <xf numFmtId="0" fontId="26" fillId="10"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10" borderId="0" applyNumberFormat="0" applyBorder="0" applyAlignment="0" applyProtection="0"/>
    <xf numFmtId="0" fontId="26" fillId="3"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7" fillId="2" borderId="1" applyNumberFormat="0" applyAlignment="0" applyProtection="0"/>
    <xf numFmtId="0" fontId="28" fillId="2" borderId="2" applyNumberFormat="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3"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14" borderId="0" applyNumberFormat="0" applyBorder="0" applyAlignment="0" applyProtection="0"/>
    <xf numFmtId="0" fontId="0" fillId="4" borderId="4" applyNumberFormat="0" applyFont="0" applyAlignment="0" applyProtection="0"/>
    <xf numFmtId="0" fontId="3" fillId="0" borderId="0" applyNumberFormat="0" applyFill="0" applyBorder="0" applyAlignment="0" applyProtection="0"/>
    <xf numFmtId="0" fontId="33" fillId="8" borderId="0" applyNumberFormat="0" applyBorder="0" applyAlignment="0" applyProtection="0"/>
    <xf numFmtId="9" fontId="0" fillId="0" borderId="0" applyFont="0" applyFill="0" applyBorder="0" applyAlignment="0" applyProtection="0"/>
    <xf numFmtId="0" fontId="34" fillId="15"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41" fillId="16" borderId="9" applyNumberFormat="0" applyAlignment="0" applyProtection="0"/>
  </cellStyleXfs>
  <cellXfs count="197">
    <xf numFmtId="0" fontId="0" fillId="0" borderId="0" xfId="0" applyAlignment="1">
      <alignment/>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0" xfId="0" applyAlignment="1">
      <alignment horizontal="left" vertical="center"/>
    </xf>
    <xf numFmtId="0" fontId="9" fillId="0" borderId="10" xfId="0" applyFont="1" applyBorder="1" applyAlignment="1">
      <alignment horizontal="left" vertical="center"/>
    </xf>
    <xf numFmtId="0" fontId="10" fillId="0" borderId="10" xfId="0" applyFont="1" applyBorder="1" applyAlignment="1">
      <alignment vertical="center"/>
    </xf>
    <xf numFmtId="0" fontId="10" fillId="0" borderId="0" xfId="0" applyFont="1" applyBorder="1" applyAlignment="1">
      <alignment vertical="center"/>
    </xf>
    <xf numFmtId="0" fontId="9" fillId="0" borderId="10" xfId="0" applyFont="1" applyBorder="1" applyAlignment="1">
      <alignment vertical="center"/>
    </xf>
    <xf numFmtId="0" fontId="10" fillId="0" borderId="0" xfId="0" applyFont="1" applyAlignment="1">
      <alignment vertical="center"/>
    </xf>
    <xf numFmtId="0" fontId="9" fillId="0" borderId="0" xfId="0" applyFont="1" applyAlignment="1">
      <alignment vertical="center"/>
    </xf>
    <xf numFmtId="0" fontId="1" fillId="6" borderId="0" xfId="0" applyFont="1" applyFill="1" applyBorder="1" applyAlignment="1">
      <alignment horizontal="center" vertical="center"/>
    </xf>
    <xf numFmtId="0" fontId="0" fillId="0" borderId="0" xfId="0" applyAlignment="1">
      <alignment horizont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11" fillId="0" borderId="0" xfId="0" applyFont="1" applyAlignment="1">
      <alignment vertical="center"/>
    </xf>
    <xf numFmtId="0" fontId="1" fillId="0" borderId="0" xfId="0" applyFont="1" applyAlignment="1">
      <alignment horizontal="left" vertical="center"/>
    </xf>
    <xf numFmtId="0" fontId="12" fillId="0" borderId="0" xfId="0" applyFont="1" applyAlignment="1">
      <alignment horizontal="center" vertical="center"/>
    </xf>
    <xf numFmtId="0" fontId="9" fillId="0" borderId="10" xfId="0" applyFont="1" applyBorder="1" applyAlignment="1">
      <alignment horizontal="right" vertical="center"/>
    </xf>
    <xf numFmtId="0" fontId="0" fillId="0" borderId="10" xfId="0" applyBorder="1" applyAlignment="1">
      <alignment vertical="center"/>
    </xf>
    <xf numFmtId="0" fontId="13" fillId="0" borderId="10" xfId="0" applyFont="1" applyBorder="1" applyAlignment="1">
      <alignment horizontal="center" vertical="center"/>
    </xf>
    <xf numFmtId="0" fontId="14" fillId="0" borderId="0" xfId="0" applyFont="1" applyBorder="1" applyAlignment="1">
      <alignment vertical="center"/>
    </xf>
    <xf numFmtId="0" fontId="0"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0" fillId="0" borderId="0" xfId="0" applyAlignment="1">
      <alignment horizontal="right" vertical="center"/>
    </xf>
    <xf numFmtId="0" fontId="16" fillId="0" borderId="11" xfId="0" applyFont="1" applyBorder="1" applyAlignment="1">
      <alignment vertical="center"/>
    </xf>
    <xf numFmtId="0" fontId="17" fillId="0" borderId="0" xfId="0" applyFont="1" applyBorder="1" applyAlignment="1">
      <alignment vertical="center"/>
    </xf>
    <xf numFmtId="0" fontId="1" fillId="3" borderId="0" xfId="0" applyFont="1" applyFill="1" applyAlignment="1">
      <alignment horizontal="center" vertical="center"/>
    </xf>
    <xf numFmtId="0" fontId="1" fillId="6" borderId="12" xfId="0" applyFont="1" applyFill="1" applyBorder="1" applyAlignment="1" applyProtection="1">
      <alignment horizontal="center" vertical="center"/>
      <protection locked="0"/>
    </xf>
    <xf numFmtId="0" fontId="7" fillId="0" borderId="12" xfId="0" applyFont="1" applyBorder="1" applyAlignment="1">
      <alignment vertical="center"/>
    </xf>
    <xf numFmtId="0" fontId="7" fillId="0" borderId="0" xfId="0" applyFont="1" applyAlignment="1">
      <alignment vertical="center"/>
    </xf>
    <xf numFmtId="49" fontId="0" fillId="0" borderId="0" xfId="0" applyNumberFormat="1" applyAlignment="1">
      <alignment vertical="center"/>
    </xf>
    <xf numFmtId="0" fontId="7" fillId="0" borderId="11" xfId="0" applyFont="1" applyBorder="1" applyAlignment="1">
      <alignment vertical="center"/>
    </xf>
    <xf numFmtId="0" fontId="0" fillId="6" borderId="0" xfId="0" applyFill="1" applyAlignment="1">
      <alignment vertical="center"/>
    </xf>
    <xf numFmtId="0" fontId="1" fillId="0" borderId="0" xfId="0" applyFont="1" applyFill="1" applyBorder="1" applyAlignment="1">
      <alignment horizontal="center" vertical="center" wrapText="1"/>
    </xf>
    <xf numFmtId="0" fontId="21" fillId="0" borderId="0" xfId="0" applyFont="1" applyAlignment="1">
      <alignment horizontal="center" vertical="center"/>
    </xf>
    <xf numFmtId="0" fontId="0" fillId="0" borderId="0" xfId="0" applyAlignment="1">
      <alignment horizontal="center" vertical="center"/>
    </xf>
    <xf numFmtId="0" fontId="19" fillId="0" borderId="0" xfId="0" applyFont="1" applyAlignment="1">
      <alignment horizontal="center" vertical="center"/>
    </xf>
    <xf numFmtId="0" fontId="18" fillId="0" borderId="13" xfId="0" applyFont="1" applyBorder="1" applyAlignment="1">
      <alignment horizontal="center" vertical="center" wrapText="1"/>
    </xf>
    <xf numFmtId="0" fontId="15" fillId="0" borderId="13" xfId="0" applyFont="1" applyBorder="1" applyAlignment="1">
      <alignment horizontal="center" vertical="center" wrapText="1"/>
    </xf>
    <xf numFmtId="0" fontId="13" fillId="0" borderId="10" xfId="0" applyFont="1" applyBorder="1" applyAlignment="1" applyProtection="1">
      <alignment horizontal="right" vertical="center"/>
      <protection locked="0"/>
    </xf>
    <xf numFmtId="0" fontId="9" fillId="0" borderId="10" xfId="0" applyFont="1" applyBorder="1" applyAlignment="1" applyProtection="1">
      <alignment horizontal="center" vertical="center"/>
      <protection locked="0"/>
    </xf>
    <xf numFmtId="0" fontId="9" fillId="0" borderId="10" xfId="0" applyFont="1" applyBorder="1" applyAlignment="1" applyProtection="1">
      <alignment horizontal="left" vertical="center"/>
      <protection locked="0"/>
    </xf>
    <xf numFmtId="0" fontId="10" fillId="0" borderId="10" xfId="0" applyFont="1" applyBorder="1" applyAlignment="1" applyProtection="1">
      <alignment vertical="center"/>
      <protection locked="0"/>
    </xf>
    <xf numFmtId="0" fontId="1" fillId="6" borderId="14" xfId="0" applyFont="1" applyFill="1" applyBorder="1" applyAlignment="1" applyProtection="1">
      <alignment vertical="center" wrapText="1"/>
      <protection locked="0"/>
    </xf>
    <xf numFmtId="0" fontId="6" fillId="6" borderId="15"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protection locked="0"/>
    </xf>
    <xf numFmtId="0" fontId="1" fillId="17" borderId="16" xfId="0"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protection locked="0"/>
    </xf>
    <xf numFmtId="0" fontId="1" fillId="6" borderId="15" xfId="0" applyFont="1" applyFill="1" applyBorder="1" applyAlignment="1" applyProtection="1">
      <alignment horizontal="center" vertical="center" wrapText="1"/>
      <protection locked="0"/>
    </xf>
    <xf numFmtId="0" fontId="1" fillId="6" borderId="17" xfId="0" applyFont="1" applyFill="1" applyBorder="1" applyAlignment="1" applyProtection="1">
      <alignment horizontal="center" vertical="center"/>
      <protection locked="0"/>
    </xf>
    <xf numFmtId="0" fontId="6" fillId="6" borderId="16" xfId="0" applyFont="1" applyFill="1" applyBorder="1" applyAlignment="1" applyProtection="1">
      <alignment horizontal="center" vertical="center"/>
      <protection locked="0"/>
    </xf>
    <xf numFmtId="0" fontId="43" fillId="0" borderId="0" xfId="0" applyFont="1" applyAlignment="1" applyProtection="1">
      <alignment horizontal="right" vertical="center"/>
      <protection locked="0"/>
    </xf>
    <xf numFmtId="0" fontId="43" fillId="0" borderId="0" xfId="0" applyFont="1" applyAlignment="1" applyProtection="1">
      <alignment vertical="center"/>
      <protection locked="0"/>
    </xf>
    <xf numFmtId="0" fontId="0" fillId="0" borderId="0" xfId="0" applyAlignment="1" applyProtection="1">
      <alignment vertical="center"/>
      <protection locked="0"/>
    </xf>
    <xf numFmtId="0" fontId="0" fillId="0" borderId="18" xfId="0" applyFont="1" applyBorder="1" applyAlignment="1" applyProtection="1">
      <alignment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0" fillId="18" borderId="12" xfId="0" applyFont="1" applyFill="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23"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8" fillId="0" borderId="11"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9" fillId="3" borderId="19" xfId="0" applyFont="1" applyFill="1" applyBorder="1" applyAlignment="1" applyProtection="1">
      <alignment horizontal="center" vertical="center"/>
      <protection locked="0"/>
    </xf>
    <xf numFmtId="0" fontId="9" fillId="0" borderId="19" xfId="0" applyFont="1" applyBorder="1" applyAlignment="1" applyProtection="1">
      <alignment/>
      <protection locked="0"/>
    </xf>
    <xf numFmtId="0" fontId="7" fillId="0" borderId="24"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15" fillId="0" borderId="19" xfId="0" applyFont="1" applyBorder="1" applyAlignment="1" applyProtection="1">
      <alignment horizontal="center" vertical="center"/>
      <protection locked="0"/>
    </xf>
    <xf numFmtId="0" fontId="9" fillId="0" borderId="22" xfId="0" applyFont="1" applyBorder="1" applyAlignment="1" applyProtection="1">
      <alignment/>
      <protection locked="0"/>
    </xf>
    <xf numFmtId="0" fontId="9" fillId="0" borderId="11"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1" fillId="0" borderId="19" xfId="0" applyFont="1" applyBorder="1" applyAlignment="1" applyProtection="1">
      <alignment horizontal="center" vertical="center"/>
      <protection locked="0"/>
    </xf>
    <xf numFmtId="0" fontId="7" fillId="0" borderId="11"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1"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49" fontId="9" fillId="0" borderId="19" xfId="0" applyNumberFormat="1" applyFont="1" applyBorder="1" applyAlignment="1" applyProtection="1">
      <alignment horizontal="center" vertical="center"/>
      <protection locked="0"/>
    </xf>
    <xf numFmtId="0" fontId="7" fillId="0" borderId="12" xfId="0" applyFont="1" applyBorder="1" applyAlignment="1" applyProtection="1">
      <alignment vertical="center"/>
      <protection locked="0"/>
    </xf>
    <xf numFmtId="0" fontId="0" fillId="0" borderId="12" xfId="0" applyFont="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10" fillId="0" borderId="19" xfId="0" applyFont="1" applyBorder="1" applyAlignment="1" applyProtection="1">
      <alignment horizontal="center" vertical="center"/>
      <protection locked="0"/>
    </xf>
    <xf numFmtId="0" fontId="48" fillId="0" borderId="11"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9" fillId="0" borderId="20" xfId="0" applyFont="1" applyBorder="1" applyAlignment="1" applyProtection="1">
      <alignment/>
      <protection locked="0"/>
    </xf>
    <xf numFmtId="0" fontId="0" fillId="0" borderId="0" xfId="0" applyFont="1" applyAlignment="1" applyProtection="1">
      <alignment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0" fillId="0" borderId="0" xfId="0" applyFont="1" applyAlignment="1" applyProtection="1">
      <alignment vertical="center"/>
      <protection locked="0"/>
    </xf>
    <xf numFmtId="0" fontId="0" fillId="19" borderId="12"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0" xfId="0" applyFont="1" applyBorder="1" applyAlignment="1" applyProtection="1">
      <alignment/>
      <protection locked="0"/>
    </xf>
    <xf numFmtId="0" fontId="9" fillId="0" borderId="0" xfId="0" applyFont="1" applyBorder="1" applyAlignment="1" applyProtection="1">
      <alignment horizontal="center" vertical="center"/>
      <protection locked="0"/>
    </xf>
    <xf numFmtId="0" fontId="1" fillId="0" borderId="12" xfId="0" applyFont="1" applyBorder="1" applyAlignment="1" applyProtection="1">
      <alignment horizontal="left" vertical="center"/>
      <protection locked="0"/>
    </xf>
    <xf numFmtId="0" fontId="1" fillId="0" borderId="24" xfId="0" applyFont="1" applyBorder="1" applyAlignment="1" applyProtection="1">
      <alignment vertical="center"/>
      <protection locked="0"/>
    </xf>
    <xf numFmtId="0" fontId="44" fillId="0" borderId="18" xfId="0" applyFont="1" applyBorder="1" applyAlignment="1" applyProtection="1">
      <alignment vertical="center"/>
      <protection locked="0"/>
    </xf>
    <xf numFmtId="0" fontId="45" fillId="0" borderId="19" xfId="0" applyFont="1" applyBorder="1" applyAlignment="1" applyProtection="1">
      <alignment horizontal="center" vertical="center"/>
      <protection locked="0"/>
    </xf>
    <xf numFmtId="0" fontId="45" fillId="0" borderId="20" xfId="0" applyFont="1" applyBorder="1" applyAlignment="1" applyProtection="1">
      <alignment horizontal="center" vertical="center"/>
      <protection locked="0"/>
    </xf>
    <xf numFmtId="0" fontId="44" fillId="18" borderId="12" xfId="0" applyFont="1" applyFill="1" applyBorder="1" applyAlignment="1" applyProtection="1">
      <alignment horizontal="center" vertical="center"/>
      <protection locked="0"/>
    </xf>
    <xf numFmtId="0" fontId="45" fillId="0" borderId="21" xfId="0" applyFont="1" applyBorder="1" applyAlignment="1" applyProtection="1">
      <alignment horizontal="center" vertical="center"/>
      <protection locked="0"/>
    </xf>
    <xf numFmtId="0" fontId="45" fillId="0" borderId="18" xfId="0" applyFont="1" applyBorder="1" applyAlignment="1" applyProtection="1">
      <alignment horizontal="center" vertical="center"/>
      <protection locked="0"/>
    </xf>
    <xf numFmtId="0" fontId="45" fillId="0" borderId="23"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46" fillId="0" borderId="24" xfId="0" applyFont="1" applyBorder="1" applyAlignment="1" applyProtection="1">
      <alignment vertical="center"/>
      <protection locked="0"/>
    </xf>
    <xf numFmtId="0" fontId="46" fillId="0" borderId="24" xfId="0" applyFont="1" applyBorder="1" applyAlignment="1" applyProtection="1">
      <alignment horizontal="left" vertical="center"/>
      <protection locked="0"/>
    </xf>
    <xf numFmtId="0" fontId="0" fillId="0" borderId="0" xfId="0" applyAlignment="1" applyProtection="1">
      <alignment/>
      <protection locked="0"/>
    </xf>
    <xf numFmtId="0" fontId="9" fillId="0" borderId="19" xfId="0" applyFont="1" applyBorder="1" applyAlignment="1" applyProtection="1">
      <alignment vertical="center"/>
      <protection locked="0"/>
    </xf>
    <xf numFmtId="0" fontId="9" fillId="0" borderId="27"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0" fontId="0" fillId="18" borderId="30" xfId="0" applyFont="1" applyFill="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0"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9" fillId="0" borderId="28" xfId="0" applyFont="1" applyFill="1" applyBorder="1" applyAlignment="1" applyProtection="1">
      <alignment horizontal="center" vertical="center"/>
      <protection locked="0"/>
    </xf>
    <xf numFmtId="0" fontId="9" fillId="0" borderId="28" xfId="0" applyFont="1" applyBorder="1" applyAlignment="1" applyProtection="1">
      <alignment vertical="center"/>
      <protection locked="0"/>
    </xf>
    <xf numFmtId="0" fontId="1" fillId="6" borderId="33" xfId="0" applyFont="1" applyFill="1" applyBorder="1" applyAlignment="1" applyProtection="1">
      <alignment vertical="center" wrapText="1"/>
      <protection locked="0"/>
    </xf>
    <xf numFmtId="0" fontId="6" fillId="6" borderId="22" xfId="0" applyFont="1" applyFill="1" applyBorder="1" applyAlignment="1" applyProtection="1">
      <alignment horizontal="center" vertical="center"/>
      <protection locked="0"/>
    </xf>
    <xf numFmtId="0" fontId="1" fillId="6" borderId="22" xfId="0" applyFont="1" applyFill="1" applyBorder="1" applyAlignment="1" applyProtection="1">
      <alignment horizontal="center" vertical="center"/>
      <protection locked="0"/>
    </xf>
    <xf numFmtId="0" fontId="1" fillId="17" borderId="12" xfId="0" applyFont="1" applyFill="1" applyBorder="1" applyAlignment="1" applyProtection="1">
      <alignment horizontal="center" vertical="center"/>
      <protection locked="0"/>
    </xf>
    <xf numFmtId="0" fontId="1" fillId="6" borderId="33" xfId="0" applyFont="1" applyFill="1" applyBorder="1" applyAlignment="1" applyProtection="1">
      <alignment horizontal="center" vertical="center"/>
      <protection locked="0"/>
    </xf>
    <xf numFmtId="0" fontId="1" fillId="6" borderId="22" xfId="0" applyFont="1" applyFill="1" applyBorder="1" applyAlignment="1" applyProtection="1">
      <alignment horizontal="center" vertical="center" wrapText="1"/>
      <protection locked="0"/>
    </xf>
    <xf numFmtId="0" fontId="1" fillId="6" borderId="11" xfId="0" applyFont="1" applyFill="1" applyBorder="1" applyAlignment="1" applyProtection="1">
      <alignment horizontal="center" vertical="center"/>
      <protection locked="0"/>
    </xf>
    <xf numFmtId="0" fontId="6" fillId="6" borderId="12" xfId="0" applyFont="1" applyFill="1" applyBorder="1" applyAlignment="1" applyProtection="1">
      <alignment horizontal="center" vertical="center"/>
      <protection locked="0"/>
    </xf>
    <xf numFmtId="0" fontId="7" fillId="0" borderId="24" xfId="0" applyFont="1" applyBorder="1" applyAlignment="1" applyProtection="1">
      <alignment vertical="center"/>
      <protection locked="0"/>
    </xf>
    <xf numFmtId="0" fontId="0" fillId="0" borderId="12" xfId="0" applyFont="1" applyBorder="1" applyAlignment="1" applyProtection="1">
      <alignment horizontal="left" vertical="center"/>
      <protection locked="0"/>
    </xf>
    <xf numFmtId="49" fontId="7" fillId="0" borderId="12" xfId="0" applyNumberFormat="1" applyFont="1" applyBorder="1" applyAlignment="1" applyProtection="1">
      <alignment vertical="center"/>
      <protection locked="0"/>
    </xf>
    <xf numFmtId="49" fontId="0" fillId="0" borderId="11" xfId="0" applyNumberFormat="1" applyFont="1" applyBorder="1" applyAlignment="1" applyProtection="1">
      <alignment vertical="center"/>
      <protection locked="0"/>
    </xf>
    <xf numFmtId="49" fontId="7" fillId="0" borderId="11" xfId="0" applyNumberFormat="1" applyFont="1" applyBorder="1" applyAlignment="1" applyProtection="1">
      <alignment vertical="center"/>
      <protection locked="0"/>
    </xf>
    <xf numFmtId="49" fontId="0" fillId="0" borderId="12" xfId="0" applyNumberFormat="1" applyFont="1" applyBorder="1" applyAlignment="1" applyProtection="1">
      <alignment vertical="center"/>
      <protection locked="0"/>
    </xf>
    <xf numFmtId="49" fontId="7" fillId="0" borderId="11" xfId="0" applyNumberFormat="1" applyFont="1" applyBorder="1" applyAlignment="1" applyProtection="1">
      <alignment vertical="center"/>
      <protection locked="0"/>
    </xf>
    <xf numFmtId="49" fontId="0" fillId="0" borderId="24" xfId="0" applyNumberFormat="1" applyFont="1" applyBorder="1" applyAlignment="1" applyProtection="1">
      <alignment vertical="center"/>
      <protection locked="0"/>
    </xf>
    <xf numFmtId="0" fontId="7" fillId="0" borderId="12"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1" fillId="0" borderId="24" xfId="0" applyFont="1" applyBorder="1" applyAlignment="1" applyProtection="1">
      <alignment horizontal="left" vertical="center"/>
      <protection locked="0"/>
    </xf>
    <xf numFmtId="0" fontId="0" fillId="0" borderId="0" xfId="0" applyFont="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44" fillId="19" borderId="12" xfId="0" applyFont="1" applyFill="1" applyBorder="1" applyAlignment="1" applyProtection="1">
      <alignment horizontal="center" vertical="center"/>
      <protection locked="0"/>
    </xf>
    <xf numFmtId="0" fontId="45" fillId="0" borderId="10" xfId="0" applyFont="1" applyBorder="1" applyAlignment="1" applyProtection="1">
      <alignment/>
      <protection locked="0"/>
    </xf>
    <xf numFmtId="0" fontId="44" fillId="0" borderId="11" xfId="0" applyFont="1" applyBorder="1" applyAlignment="1" applyProtection="1">
      <alignment vertical="center"/>
      <protection locked="0"/>
    </xf>
    <xf numFmtId="0" fontId="1" fillId="6" borderId="34" xfId="0" applyFont="1" applyFill="1" applyBorder="1" applyAlignment="1" applyProtection="1">
      <alignment vertical="center"/>
      <protection locked="0"/>
    </xf>
    <xf numFmtId="0" fontId="6" fillId="6" borderId="0" xfId="0" applyFont="1" applyFill="1" applyBorder="1" applyAlignment="1" applyProtection="1">
      <alignment horizontal="center" vertical="center"/>
      <protection locked="0"/>
    </xf>
    <xf numFmtId="0" fontId="1" fillId="6" borderId="0" xfId="0" applyFont="1" applyFill="1" applyBorder="1" applyAlignment="1" applyProtection="1">
      <alignment horizontal="center" vertical="center"/>
      <protection locked="0"/>
    </xf>
    <xf numFmtId="0" fontId="0" fillId="17" borderId="35" xfId="0" applyFill="1" applyBorder="1" applyAlignment="1" applyProtection="1">
      <alignment horizontal="center" vertical="center"/>
      <protection locked="0"/>
    </xf>
    <xf numFmtId="0" fontId="1" fillId="6" borderId="34" xfId="0" applyFont="1" applyFill="1" applyBorder="1" applyAlignment="1" applyProtection="1">
      <alignment horizontal="center" vertical="center"/>
      <protection locked="0"/>
    </xf>
    <xf numFmtId="0" fontId="1" fillId="6" borderId="36" xfId="0" applyFont="1" applyFill="1" applyBorder="1" applyAlignment="1" applyProtection="1">
      <alignment horizontal="center" vertical="center"/>
      <protection locked="0"/>
    </xf>
    <xf numFmtId="0" fontId="6" fillId="6" borderId="35" xfId="0" applyFont="1" applyFill="1" applyBorder="1" applyAlignment="1" applyProtection="1">
      <alignment horizontal="center" vertical="center"/>
      <protection locked="0"/>
    </xf>
    <xf numFmtId="0" fontId="9" fillId="3" borderId="21"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0" fillId="19" borderId="30" xfId="0" applyFont="1" applyFill="1" applyBorder="1" applyAlignment="1" applyProtection="1">
      <alignment horizontal="center" vertical="center"/>
      <protection locked="0"/>
    </xf>
    <xf numFmtId="0" fontId="0" fillId="17" borderId="12" xfId="0" applyFill="1" applyBorder="1" applyAlignment="1" applyProtection="1">
      <alignment horizontal="center" vertical="center"/>
      <protection locked="0"/>
    </xf>
    <xf numFmtId="0" fontId="1" fillId="6" borderId="22" xfId="0" applyFont="1" applyFill="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49" fontId="9" fillId="0" borderId="33" xfId="0" applyNumberFormat="1" applyFont="1" applyBorder="1" applyAlignment="1" applyProtection="1">
      <alignment horizontal="center" vertical="center"/>
      <protection locked="0"/>
    </xf>
    <xf numFmtId="49" fontId="9" fillId="0" borderId="21" xfId="0" applyNumberFormat="1" applyFont="1" applyBorder="1" applyAlignment="1" applyProtection="1">
      <alignment horizontal="center" vertical="center"/>
      <protection locked="0"/>
    </xf>
    <xf numFmtId="0" fontId="0" fillId="0" borderId="25" xfId="0" applyFont="1" applyBorder="1" applyAlignment="1" applyProtection="1">
      <alignment vertical="center"/>
      <protection locked="0"/>
    </xf>
    <xf numFmtId="0" fontId="9" fillId="0" borderId="26" xfId="0" applyFont="1" applyBorder="1" applyAlignment="1" applyProtection="1">
      <alignment/>
      <protection locked="0"/>
    </xf>
    <xf numFmtId="0" fontId="0" fillId="0" borderId="24" xfId="0" applyFont="1" applyBorder="1" applyAlignment="1" applyProtection="1">
      <alignment vertical="center"/>
      <protection locked="0"/>
    </xf>
    <xf numFmtId="0" fontId="0" fillId="0" borderId="37" xfId="0" applyFont="1" applyBorder="1" applyAlignment="1" applyProtection="1">
      <alignment vertical="center"/>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0" fillId="18" borderId="40" xfId="0" applyFont="1" applyFill="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0" fillId="0" borderId="44" xfId="0" applyFont="1" applyBorder="1" applyAlignment="1" applyProtection="1">
      <alignment vertical="center"/>
      <protection locked="0"/>
    </xf>
    <xf numFmtId="0" fontId="0" fillId="0" borderId="0" xfId="0" applyFont="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20" borderId="0" xfId="0" applyFont="1" applyFill="1" applyBorder="1" applyAlignment="1" applyProtection="1">
      <alignment horizontal="center" vertical="center"/>
      <protection locked="0"/>
    </xf>
    <xf numFmtId="0" fontId="0" fillId="20" borderId="0" xfId="0" applyFill="1" applyBorder="1" applyAlignment="1" applyProtection="1">
      <alignment horizontal="center" vertical="center"/>
      <protection locked="0"/>
    </xf>
    <xf numFmtId="0" fontId="8" fillId="20" borderId="0"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49" fontId="0" fillId="0" borderId="0" xfId="0" applyNumberFormat="1"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inweis" xfId="48"/>
    <cellStyle name="Hyperlink" xfId="49"/>
    <cellStyle name="Neutral" xfId="50"/>
    <cellStyle name="Percent" xfId="51"/>
    <cellStyle name="Schlecht" xfId="52"/>
    <cellStyle name="Titel"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9525</xdr:colOff>
      <xdr:row>3</xdr:row>
      <xdr:rowOff>76200</xdr:rowOff>
    </xdr:from>
    <xdr:to>
      <xdr:col>18</xdr:col>
      <xdr:colOff>0</xdr:colOff>
      <xdr:row>5</xdr:row>
      <xdr:rowOff>266700</xdr:rowOff>
    </xdr:to>
    <xdr:pic>
      <xdr:nvPicPr>
        <xdr:cNvPr id="1" name="Picture 83"/>
        <xdr:cNvPicPr preferRelativeResize="1">
          <a:picLocks noChangeAspect="1"/>
        </xdr:cNvPicPr>
      </xdr:nvPicPr>
      <xdr:blipFill>
        <a:blip r:embed="rId1"/>
        <a:stretch>
          <a:fillRect/>
        </a:stretch>
      </xdr:blipFill>
      <xdr:spPr>
        <a:xfrm>
          <a:off x="3638550" y="1295400"/>
          <a:ext cx="1085850" cy="609600"/>
        </a:xfrm>
        <a:prstGeom prst="rect">
          <a:avLst/>
        </a:prstGeom>
        <a:noFill/>
        <a:ln w="9525" cmpd="sng">
          <a:noFill/>
        </a:ln>
      </xdr:spPr>
    </xdr:pic>
    <xdr:clientData/>
  </xdr:twoCellAnchor>
  <xdr:oneCellAnchor>
    <xdr:from>
      <xdr:col>23</xdr:col>
      <xdr:colOff>1066800</xdr:colOff>
      <xdr:row>3</xdr:row>
      <xdr:rowOff>76200</xdr:rowOff>
    </xdr:from>
    <xdr:ext cx="1533525" cy="219075"/>
    <xdr:sp>
      <xdr:nvSpPr>
        <xdr:cNvPr id="2" name="Text Box 285"/>
        <xdr:cNvSpPr txBox="1">
          <a:spLocks noChangeArrowheads="1"/>
        </xdr:cNvSpPr>
      </xdr:nvSpPr>
      <xdr:spPr>
        <a:xfrm>
          <a:off x="6838950" y="1295400"/>
          <a:ext cx="1533525" cy="219075"/>
        </a:xfrm>
        <a:prstGeom prst="rect">
          <a:avLst/>
        </a:prstGeom>
        <a:noFill/>
        <a:ln w="9525" cmpd="sng">
          <a:noFill/>
        </a:ln>
      </xdr:spPr>
      <xdr:txBody>
        <a:bodyPr vertOverflow="clip" wrap="square" lIns="18288" tIns="22860" rIns="0" bIns="0">
          <a:spAutoFit/>
        </a:bodyPr>
        <a:p>
          <a:pPr algn="l">
            <a:defRPr/>
          </a:pPr>
          <a:r>
            <a:rPr lang="en-US" cap="none" sz="1200" b="1" i="0" u="none" baseline="0">
              <a:solidFill>
                <a:srgbClr val="000000"/>
              </a:solidFill>
              <a:latin typeface="Arial"/>
              <a:ea typeface="Arial"/>
              <a:cs typeface="Arial"/>
            </a:rPr>
            <a:t>Höchster W6 + mögliche</a:t>
          </a:r>
        </a:p>
      </xdr:txBody>
    </xdr:sp>
    <xdr:clientData/>
  </xdr:oneCellAnchor>
  <xdr:oneCellAnchor>
    <xdr:from>
      <xdr:col>7</xdr:col>
      <xdr:colOff>190500</xdr:colOff>
      <xdr:row>5</xdr:row>
      <xdr:rowOff>47625</xdr:rowOff>
    </xdr:from>
    <xdr:ext cx="381000" cy="219075"/>
    <xdr:sp>
      <xdr:nvSpPr>
        <xdr:cNvPr id="3" name="Text Box 286"/>
        <xdr:cNvSpPr txBox="1">
          <a:spLocks noChangeArrowheads="1"/>
        </xdr:cNvSpPr>
      </xdr:nvSpPr>
      <xdr:spPr>
        <a:xfrm>
          <a:off x="2695575" y="1685925"/>
          <a:ext cx="381000" cy="219075"/>
        </a:xfrm>
        <a:prstGeom prst="rect">
          <a:avLst/>
        </a:prstGeom>
        <a:noFill/>
        <a:ln w="9525" cmpd="sng">
          <a:noFill/>
        </a:ln>
      </xdr:spPr>
      <xdr:txBody>
        <a:bodyPr vertOverflow="clip" wrap="square" lIns="18288" tIns="22860" rIns="0" bIns="0">
          <a:spAutoFit/>
        </a:bodyPr>
        <a:p>
          <a:pPr algn="l">
            <a:defRPr/>
          </a:pPr>
          <a:r>
            <a:rPr lang="en-US" cap="none" sz="1200" b="1" i="0" u="none" baseline="0">
              <a:solidFill>
                <a:srgbClr val="000000"/>
              </a:solidFill>
              <a:latin typeface="Arial"/>
              <a:ea typeface="Arial"/>
              <a:cs typeface="Arial"/>
            </a:rPr>
            <a:t>2W6 + </a:t>
          </a:r>
        </a:p>
      </xdr:txBody>
    </xdr:sp>
    <xdr:clientData/>
  </xdr:oneCellAnchor>
  <xdr:twoCellAnchor>
    <xdr:from>
      <xdr:col>24</xdr:col>
      <xdr:colOff>95250</xdr:colOff>
      <xdr:row>1</xdr:row>
      <xdr:rowOff>104775</xdr:rowOff>
    </xdr:from>
    <xdr:to>
      <xdr:col>25</xdr:col>
      <xdr:colOff>1828800</xdr:colOff>
      <xdr:row>6</xdr:row>
      <xdr:rowOff>238125</xdr:rowOff>
    </xdr:to>
    <xdr:sp>
      <xdr:nvSpPr>
        <xdr:cNvPr id="4" name="TextBox 682"/>
        <xdr:cNvSpPr txBox="1">
          <a:spLocks noChangeArrowheads="1"/>
        </xdr:cNvSpPr>
      </xdr:nvSpPr>
      <xdr:spPr>
        <a:xfrm>
          <a:off x="9048750" y="171450"/>
          <a:ext cx="4895850" cy="2028825"/>
        </a:xfrm>
        <a:prstGeom prst="rect">
          <a:avLst/>
        </a:prstGeom>
        <a:solidFill>
          <a:srgbClr val="FFCC99"/>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Arial"/>
              <a:ea typeface="Arial"/>
              <a:cs typeface="Arial"/>
            </a:rPr>
            <a:t>© 2014 by Axes of Aix / Thomas Straeten
Diese Datei darf nur zu privaten Zwecken verwendet werden. Diese privaten Zwecke umfassen ausschließlich Spiele von Privatpersonen im Rahmen des Tabletop-Spiels Warhammer. Jegliche kommerzielle Nutzung, wie etwa der Verkauf, sowie eine Veränderung dieser Armeeliste sind strengstens verboten. Eine Veröffentlichung auf einer anderen Website als der von Axes of Aix bedarf der Erlaubnis des Autors!
Eine Benutzung ist nur mit dem Akzeptieren der oben genannten Bedingungen erlaubt.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AO415"/>
  <sheetViews>
    <sheetView tabSelected="1" zoomScale="125" zoomScaleNormal="125" workbookViewId="0" topLeftCell="A1">
      <selection activeCell="A8" sqref="A8:IV276"/>
    </sheetView>
  </sheetViews>
  <sheetFormatPr defaultColWidth="11.421875" defaultRowHeight="12.75" outlineLevelRow="2"/>
  <cols>
    <col min="1" max="1" width="17.8515625" style="2" customWidth="1"/>
    <col min="2" max="2" width="3.28125" style="3" customWidth="1"/>
    <col min="3" max="11" width="3.28125" style="2" customWidth="1"/>
    <col min="12" max="12" width="0.42578125" style="2" customWidth="1"/>
    <col min="13" max="18" width="3.28125" style="2" customWidth="1"/>
    <col min="19" max="19" width="3.28125" style="1" customWidth="1"/>
    <col min="20" max="20" width="3.421875" style="2" hidden="1" customWidth="1"/>
    <col min="21" max="21" width="3.28125" style="2" customWidth="1"/>
    <col min="22" max="22" width="4.28125" style="2" customWidth="1"/>
    <col min="23" max="23" width="4.8515625" style="2" customWidth="1"/>
    <col min="24" max="24" width="47.7109375" style="2" customWidth="1"/>
    <col min="25" max="25" width="47.421875" style="2" customWidth="1"/>
    <col min="26" max="26" width="28.140625" style="2" customWidth="1"/>
    <col min="27" max="27" width="8.7109375" style="2" customWidth="1"/>
    <col min="28" max="28" width="4.00390625" style="2" customWidth="1"/>
    <col min="29" max="29" width="4.421875" style="2" customWidth="1"/>
    <col min="30" max="30" width="5.7109375" style="2" customWidth="1"/>
    <col min="31" max="31" width="4.140625" style="2" customWidth="1"/>
    <col min="32" max="32" width="4.7109375" style="2" customWidth="1"/>
    <col min="33" max="33" width="6.00390625" style="2" customWidth="1"/>
    <col min="34" max="34" width="5.00390625" style="2" customWidth="1"/>
    <col min="35" max="16384" width="10.8515625" style="2" customWidth="1"/>
  </cols>
  <sheetData>
    <row r="1" ht="5.25" customHeight="1"/>
    <row r="2" spans="1:24" ht="50.25" customHeight="1">
      <c r="A2" s="37" t="s">
        <v>275</v>
      </c>
      <c r="B2" s="38"/>
      <c r="C2" s="38"/>
      <c r="D2" s="38"/>
      <c r="E2" s="38"/>
      <c r="F2" s="38"/>
      <c r="G2" s="38"/>
      <c r="H2" s="38"/>
      <c r="I2" s="38"/>
      <c r="J2" s="38"/>
      <c r="K2" s="38"/>
      <c r="L2" s="38"/>
      <c r="M2" s="38"/>
      <c r="N2" s="38"/>
      <c r="O2" s="38"/>
      <c r="P2" s="38"/>
      <c r="Q2" s="38"/>
      <c r="R2" s="38"/>
      <c r="S2" s="38"/>
      <c r="T2" s="38"/>
      <c r="U2" s="38"/>
      <c r="V2" s="38"/>
      <c r="W2" s="38"/>
      <c r="X2" s="38"/>
    </row>
    <row r="3" spans="1:24" ht="40.5" customHeight="1">
      <c r="A3" s="39" t="s">
        <v>257</v>
      </c>
      <c r="B3" s="38"/>
      <c r="C3" s="38"/>
      <c r="D3" s="38"/>
      <c r="E3" s="38"/>
      <c r="F3" s="38"/>
      <c r="G3" s="38"/>
      <c r="H3" s="38"/>
      <c r="I3" s="38"/>
      <c r="J3" s="38"/>
      <c r="K3" s="38"/>
      <c r="L3" s="38"/>
      <c r="M3" s="38"/>
      <c r="N3" s="38"/>
      <c r="O3" s="38"/>
      <c r="P3" s="38"/>
      <c r="Q3" s="38"/>
      <c r="R3" s="38"/>
      <c r="S3" s="38"/>
      <c r="T3" s="38"/>
      <c r="U3" s="38"/>
      <c r="V3" s="38"/>
      <c r="W3" s="38"/>
      <c r="X3" s="38"/>
    </row>
    <row r="4" spans="1:24" ht="25.5" customHeight="1">
      <c r="A4" s="44" t="s">
        <v>292</v>
      </c>
      <c r="B4" s="45"/>
      <c r="C4" s="45"/>
      <c r="D4" s="45"/>
      <c r="E4" s="45"/>
      <c r="F4" s="45"/>
      <c r="G4" s="45"/>
      <c r="H4" s="45"/>
      <c r="I4" s="45"/>
      <c r="J4" s="45"/>
      <c r="K4" s="45"/>
      <c r="L4" s="7"/>
      <c r="M4" s="7"/>
      <c r="N4" s="8"/>
      <c r="O4" s="8"/>
      <c r="P4" s="8"/>
      <c r="R4" s="8"/>
      <c r="S4" s="14"/>
      <c r="T4" s="7"/>
      <c r="U4" s="7"/>
      <c r="V4" s="9"/>
      <c r="W4" s="19" t="s">
        <v>286</v>
      </c>
      <c r="X4" s="42">
        <f>0+IF(B10=1,1,0)+IF(B24=1,1,0)+IF(B48=1,1,0)+IF(B72="-",0,B72)+IF(B133="-",0,B133)</f>
        <v>0</v>
      </c>
    </row>
    <row r="5" spans="1:24" ht="7.5" customHeight="1">
      <c r="A5" s="10"/>
      <c r="B5" s="10"/>
      <c r="C5" s="10"/>
      <c r="D5" s="10"/>
      <c r="E5" s="10"/>
      <c r="F5" s="10"/>
      <c r="G5" s="10"/>
      <c r="H5" s="10"/>
      <c r="I5" s="10"/>
      <c r="J5" s="10"/>
      <c r="K5" s="10"/>
      <c r="L5" s="10"/>
      <c r="M5" s="10"/>
      <c r="N5" s="10"/>
      <c r="O5" s="10"/>
      <c r="P5" s="10"/>
      <c r="Q5" s="11"/>
      <c r="R5" s="10"/>
      <c r="S5" s="15"/>
      <c r="T5" s="10"/>
      <c r="U5" s="10"/>
      <c r="V5" s="10"/>
      <c r="W5" s="10"/>
      <c r="X5" s="22"/>
    </row>
    <row r="6" spans="1:24" ht="25.5" customHeight="1">
      <c r="A6" s="6" t="s">
        <v>260</v>
      </c>
      <c r="B6" s="7"/>
      <c r="C6" s="9" t="s">
        <v>34</v>
      </c>
      <c r="D6" s="7"/>
      <c r="E6" s="20"/>
      <c r="F6" s="7"/>
      <c r="G6" s="7"/>
      <c r="H6" s="7"/>
      <c r="I6" s="7"/>
      <c r="J6" s="7"/>
      <c r="K6" s="43">
        <f>0+IF(B10=1,1,0)+IF(B24=1,1,0)+IF(B48=1,1,0)+IF(B72="-",0,B72)+IF(B133="-",0,B133)</f>
        <v>0</v>
      </c>
      <c r="L6" s="7"/>
      <c r="M6" s="7"/>
      <c r="N6" s="8"/>
      <c r="O6" s="28" t="b">
        <f>AND(B24="-",B72="-",B133="-")</f>
        <v>1</v>
      </c>
      <c r="P6" s="8"/>
      <c r="R6" s="8"/>
      <c r="S6" s="14"/>
      <c r="T6" s="7"/>
      <c r="U6" s="7"/>
      <c r="V6" s="20"/>
      <c r="W6" s="19" t="s">
        <v>276</v>
      </c>
      <c r="X6" s="21">
        <f>V275</f>
        <v>0</v>
      </c>
    </row>
    <row r="7" spans="1:24" ht="39" customHeight="1" thickBot="1">
      <c r="A7" s="40" t="s">
        <v>294</v>
      </c>
      <c r="B7" s="41"/>
      <c r="C7" s="41"/>
      <c r="D7" s="41"/>
      <c r="E7" s="41"/>
      <c r="F7" s="41"/>
      <c r="G7" s="41"/>
      <c r="H7" s="41"/>
      <c r="I7" s="41"/>
      <c r="J7" s="41"/>
      <c r="K7" s="41"/>
      <c r="L7" s="41"/>
      <c r="M7" s="41"/>
      <c r="N7" s="41"/>
      <c r="O7" s="41"/>
      <c r="P7" s="41"/>
      <c r="Q7" s="41"/>
      <c r="R7" s="41"/>
      <c r="S7" s="41"/>
      <c r="T7" s="41"/>
      <c r="U7" s="41"/>
      <c r="V7" s="41"/>
      <c r="W7" s="41"/>
      <c r="X7" s="41"/>
    </row>
    <row r="8" spans="1:26" s="56" customFormat="1" ht="25.5" customHeight="1">
      <c r="A8" s="46" t="s">
        <v>324</v>
      </c>
      <c r="B8" s="47" t="s">
        <v>265</v>
      </c>
      <c r="C8" s="48" t="s">
        <v>261</v>
      </c>
      <c r="D8" s="48" t="s">
        <v>139</v>
      </c>
      <c r="E8" s="48" t="s">
        <v>140</v>
      </c>
      <c r="F8" s="48" t="s">
        <v>38</v>
      </c>
      <c r="G8" s="48" t="s">
        <v>262</v>
      </c>
      <c r="H8" s="48" t="s">
        <v>141</v>
      </c>
      <c r="I8" s="48" t="s">
        <v>280</v>
      </c>
      <c r="J8" s="48" t="s">
        <v>281</v>
      </c>
      <c r="K8" s="48" t="s">
        <v>282</v>
      </c>
      <c r="L8" s="49"/>
      <c r="M8" s="48" t="s">
        <v>237</v>
      </c>
      <c r="N8" s="48" t="s">
        <v>238</v>
      </c>
      <c r="O8" s="48" t="s">
        <v>63</v>
      </c>
      <c r="P8" s="48" t="s">
        <v>135</v>
      </c>
      <c r="Q8" s="48" t="s">
        <v>136</v>
      </c>
      <c r="R8" s="48" t="s">
        <v>138</v>
      </c>
      <c r="S8" s="50" t="s">
        <v>149</v>
      </c>
      <c r="T8" s="51" t="s">
        <v>229</v>
      </c>
      <c r="U8" s="52" t="s">
        <v>137</v>
      </c>
      <c r="V8" s="30" t="s">
        <v>199</v>
      </c>
      <c r="W8" s="53" t="s">
        <v>289</v>
      </c>
      <c r="X8" s="52" t="s">
        <v>230</v>
      </c>
      <c r="Y8" s="54" t="s">
        <v>127</v>
      </c>
      <c r="Z8" s="55">
        <f>SUM(W9:W113)</f>
        <v>0</v>
      </c>
    </row>
    <row r="9" spans="1:24" s="56" customFormat="1" ht="15.75" customHeight="1">
      <c r="A9" s="57"/>
      <c r="B9" s="58"/>
      <c r="C9" s="58"/>
      <c r="D9" s="58"/>
      <c r="E9" s="58"/>
      <c r="F9" s="58"/>
      <c r="G9" s="58"/>
      <c r="H9" s="58"/>
      <c r="I9" s="58"/>
      <c r="J9" s="58"/>
      <c r="K9" s="59"/>
      <c r="L9" s="60"/>
      <c r="M9" s="61"/>
      <c r="N9" s="58"/>
      <c r="O9" s="58"/>
      <c r="P9" s="58"/>
      <c r="Q9" s="58"/>
      <c r="R9" s="59"/>
      <c r="S9" s="62"/>
      <c r="T9" s="63"/>
      <c r="U9" s="64"/>
      <c r="V9" s="65"/>
      <c r="W9" s="65"/>
      <c r="X9" s="66"/>
    </row>
    <row r="10" spans="1:24" s="56" customFormat="1" ht="15.75" customHeight="1">
      <c r="A10" s="67" t="s">
        <v>103</v>
      </c>
      <c r="B10" s="68" t="s">
        <v>58</v>
      </c>
      <c r="C10" s="58">
        <v>4</v>
      </c>
      <c r="D10" s="58">
        <v>7</v>
      </c>
      <c r="E10" s="58">
        <v>3</v>
      </c>
      <c r="F10" s="58">
        <v>6</v>
      </c>
      <c r="G10" s="58">
        <v>5</v>
      </c>
      <c r="H10" s="58">
        <v>4</v>
      </c>
      <c r="I10" s="58">
        <v>3</v>
      </c>
      <c r="J10" s="58">
        <v>5</v>
      </c>
      <c r="K10" s="59">
        <v>10</v>
      </c>
      <c r="L10" s="60"/>
      <c r="M10" s="61"/>
      <c r="N10" s="58"/>
      <c r="O10" s="58">
        <v>1</v>
      </c>
      <c r="P10" s="58" t="s">
        <v>58</v>
      </c>
      <c r="Q10" s="58" t="s">
        <v>204</v>
      </c>
      <c r="R10" s="58" t="s">
        <v>58</v>
      </c>
      <c r="S10" s="62" t="s">
        <v>217</v>
      </c>
      <c r="T10" s="69">
        <f>VLOOKUP(Q10,Ruestung2,$Z$284,FALSE)+IF(R10=1,1,0)+1</f>
        <v>2</v>
      </c>
      <c r="U10" s="64" t="s">
        <v>217</v>
      </c>
      <c r="V10" s="64"/>
      <c r="W10" s="65">
        <f>IF(B10="-",0,B10)*475</f>
        <v>0</v>
      </c>
      <c r="X10" s="70" t="s">
        <v>91</v>
      </c>
    </row>
    <row r="11" spans="1:24" s="56" customFormat="1" ht="15.75" customHeight="1">
      <c r="A11" s="71" t="s">
        <v>104</v>
      </c>
      <c r="B11" s="58"/>
      <c r="C11" s="58"/>
      <c r="D11" s="58"/>
      <c r="E11" s="58"/>
      <c r="F11" s="72"/>
      <c r="G11" s="58"/>
      <c r="H11" s="58"/>
      <c r="I11" s="58"/>
      <c r="J11" s="58"/>
      <c r="K11" s="59"/>
      <c r="L11" s="60"/>
      <c r="M11" s="61"/>
      <c r="N11" s="58"/>
      <c r="O11" s="58"/>
      <c r="P11" s="58"/>
      <c r="Q11" s="58"/>
      <c r="R11" s="59"/>
      <c r="S11" s="62"/>
      <c r="T11" s="73"/>
      <c r="U11" s="64"/>
      <c r="V11" s="74"/>
      <c r="W11" s="65"/>
      <c r="X11" s="75" t="s">
        <v>92</v>
      </c>
    </row>
    <row r="12" spans="1:24" s="56" customFormat="1" ht="15.75" customHeight="1">
      <c r="A12" s="71" t="s">
        <v>259</v>
      </c>
      <c r="B12" s="58">
        <v>1</v>
      </c>
      <c r="C12" s="58"/>
      <c r="D12" s="58"/>
      <c r="E12" s="58"/>
      <c r="F12" s="58"/>
      <c r="G12" s="58"/>
      <c r="H12" s="58"/>
      <c r="I12" s="58"/>
      <c r="J12" s="58"/>
      <c r="K12" s="59"/>
      <c r="L12" s="60"/>
      <c r="M12" s="61"/>
      <c r="N12" s="58"/>
      <c r="O12" s="58"/>
      <c r="P12" s="58"/>
      <c r="Q12" s="58"/>
      <c r="R12" s="59"/>
      <c r="S12" s="62"/>
      <c r="T12" s="76"/>
      <c r="U12" s="64"/>
      <c r="V12" s="65"/>
      <c r="W12" s="65"/>
      <c r="X12" s="77" t="s">
        <v>94</v>
      </c>
    </row>
    <row r="13" spans="1:24" s="56" customFormat="1" ht="15.75" customHeight="1">
      <c r="A13" s="71" t="s">
        <v>108</v>
      </c>
      <c r="B13" s="58"/>
      <c r="C13" s="58"/>
      <c r="D13" s="58"/>
      <c r="E13" s="58"/>
      <c r="F13" s="58"/>
      <c r="G13" s="58"/>
      <c r="H13" s="58"/>
      <c r="I13" s="58"/>
      <c r="J13" s="58"/>
      <c r="K13" s="59"/>
      <c r="L13" s="60"/>
      <c r="M13" s="61"/>
      <c r="N13" s="58"/>
      <c r="O13" s="58"/>
      <c r="P13" s="58"/>
      <c r="Q13" s="58"/>
      <c r="R13" s="59"/>
      <c r="S13" s="62"/>
      <c r="T13" s="63"/>
      <c r="U13" s="64"/>
      <c r="V13" s="65"/>
      <c r="W13" s="65"/>
      <c r="X13" s="77" t="s">
        <v>50</v>
      </c>
    </row>
    <row r="14" spans="1:24" s="56" customFormat="1" ht="15.75" customHeight="1">
      <c r="A14" s="71" t="s">
        <v>225</v>
      </c>
      <c r="B14" s="58"/>
      <c r="C14" s="58"/>
      <c r="D14" s="58"/>
      <c r="E14" s="78"/>
      <c r="F14" s="58"/>
      <c r="G14" s="58"/>
      <c r="H14" s="58"/>
      <c r="I14" s="58"/>
      <c r="J14" s="58"/>
      <c r="K14" s="59"/>
      <c r="L14" s="60"/>
      <c r="M14" s="61"/>
      <c r="N14" s="58"/>
      <c r="O14" s="58"/>
      <c r="P14" s="58"/>
      <c r="Q14" s="58"/>
      <c r="R14" s="59"/>
      <c r="S14" s="62"/>
      <c r="T14" s="63"/>
      <c r="U14" s="64"/>
      <c r="V14" s="65"/>
      <c r="W14" s="65"/>
      <c r="X14" s="79" t="s">
        <v>70</v>
      </c>
    </row>
    <row r="15" spans="1:24" s="56" customFormat="1" ht="15.75" customHeight="1">
      <c r="A15" s="67"/>
      <c r="B15" s="58"/>
      <c r="C15" s="58"/>
      <c r="D15" s="58"/>
      <c r="E15" s="58"/>
      <c r="F15" s="58"/>
      <c r="G15" s="58"/>
      <c r="H15" s="58"/>
      <c r="I15" s="58"/>
      <c r="J15" s="58"/>
      <c r="K15" s="59"/>
      <c r="L15" s="60"/>
      <c r="M15" s="61"/>
      <c r="N15" s="58"/>
      <c r="O15" s="58"/>
      <c r="P15" s="58"/>
      <c r="Q15" s="58"/>
      <c r="R15" s="59"/>
      <c r="S15" s="62"/>
      <c r="T15" s="63"/>
      <c r="U15" s="64"/>
      <c r="V15" s="65"/>
      <c r="W15" s="65"/>
      <c r="X15" s="79" t="s">
        <v>51</v>
      </c>
    </row>
    <row r="16" spans="1:24" s="56" customFormat="1" ht="15.75" customHeight="1">
      <c r="A16" s="67"/>
      <c r="B16" s="58"/>
      <c r="C16" s="58"/>
      <c r="D16" s="58"/>
      <c r="E16" s="58"/>
      <c r="F16" s="58"/>
      <c r="G16" s="58"/>
      <c r="H16" s="58"/>
      <c r="I16" s="58"/>
      <c r="J16" s="58"/>
      <c r="K16" s="59"/>
      <c r="L16" s="60"/>
      <c r="M16" s="61"/>
      <c r="N16" s="58"/>
      <c r="O16" s="58"/>
      <c r="P16" s="58"/>
      <c r="Q16" s="58"/>
      <c r="R16" s="59"/>
      <c r="S16" s="62"/>
      <c r="T16" s="63"/>
      <c r="U16" s="64"/>
      <c r="V16" s="65"/>
      <c r="W16" s="65"/>
      <c r="X16" s="79" t="s">
        <v>52</v>
      </c>
    </row>
    <row r="17" spans="1:24" s="56" customFormat="1" ht="15.75" customHeight="1">
      <c r="A17" s="67"/>
      <c r="B17" s="58"/>
      <c r="C17" s="58"/>
      <c r="D17" s="58"/>
      <c r="E17" s="58"/>
      <c r="F17" s="58"/>
      <c r="G17" s="58"/>
      <c r="H17" s="58"/>
      <c r="I17" s="58"/>
      <c r="J17" s="58"/>
      <c r="K17" s="59"/>
      <c r="L17" s="60"/>
      <c r="M17" s="61"/>
      <c r="N17" s="58"/>
      <c r="O17" s="58"/>
      <c r="P17" s="58"/>
      <c r="Q17" s="58"/>
      <c r="R17" s="59"/>
      <c r="S17" s="62"/>
      <c r="T17" s="63"/>
      <c r="U17" s="64"/>
      <c r="V17" s="65"/>
      <c r="W17" s="65"/>
      <c r="X17" s="79" t="s">
        <v>53</v>
      </c>
    </row>
    <row r="18" spans="1:24" s="56" customFormat="1" ht="15.75" customHeight="1">
      <c r="A18" s="67"/>
      <c r="B18" s="58"/>
      <c r="C18" s="58"/>
      <c r="D18" s="58"/>
      <c r="E18" s="58"/>
      <c r="F18" s="58"/>
      <c r="G18" s="58"/>
      <c r="H18" s="58"/>
      <c r="I18" s="58"/>
      <c r="J18" s="58"/>
      <c r="K18" s="59"/>
      <c r="L18" s="60"/>
      <c r="M18" s="61"/>
      <c r="N18" s="58"/>
      <c r="O18" s="58"/>
      <c r="P18" s="58"/>
      <c r="Q18" s="58"/>
      <c r="R18" s="59"/>
      <c r="S18" s="62"/>
      <c r="T18" s="63"/>
      <c r="U18" s="64"/>
      <c r="V18" s="65"/>
      <c r="W18" s="65"/>
      <c r="X18" s="77" t="s">
        <v>68</v>
      </c>
    </row>
    <row r="19" spans="1:24" s="56" customFormat="1" ht="15.75" customHeight="1">
      <c r="A19" s="67"/>
      <c r="B19" s="58"/>
      <c r="C19" s="58"/>
      <c r="D19" s="58"/>
      <c r="E19" s="58"/>
      <c r="F19" s="58"/>
      <c r="G19" s="58"/>
      <c r="H19" s="58"/>
      <c r="I19" s="58"/>
      <c r="J19" s="58"/>
      <c r="K19" s="59"/>
      <c r="L19" s="60"/>
      <c r="M19" s="61"/>
      <c r="N19" s="58"/>
      <c r="O19" s="58"/>
      <c r="P19" s="58"/>
      <c r="Q19" s="58"/>
      <c r="R19" s="59"/>
      <c r="S19" s="62"/>
      <c r="T19" s="63"/>
      <c r="U19" s="64"/>
      <c r="V19" s="65"/>
      <c r="W19" s="65"/>
      <c r="X19" s="77" t="s">
        <v>69</v>
      </c>
    </row>
    <row r="20" spans="1:24" s="56" customFormat="1" ht="15.75" customHeight="1">
      <c r="A20" s="67" t="s">
        <v>297</v>
      </c>
      <c r="B20" s="58">
        <v>1</v>
      </c>
      <c r="C20" s="58" t="s">
        <v>58</v>
      </c>
      <c r="D20" s="58" t="s">
        <v>58</v>
      </c>
      <c r="E20" s="58" t="s">
        <v>58</v>
      </c>
      <c r="F20" s="58">
        <v>5</v>
      </c>
      <c r="G20" s="58">
        <v>5</v>
      </c>
      <c r="H20" s="58">
        <v>5</v>
      </c>
      <c r="I20" s="58" t="s">
        <v>58</v>
      </c>
      <c r="J20" s="58" t="s">
        <v>58</v>
      </c>
      <c r="K20" s="59" t="s">
        <v>58</v>
      </c>
      <c r="L20" s="60"/>
      <c r="M20" s="61"/>
      <c r="N20" s="58"/>
      <c r="O20" s="58"/>
      <c r="P20" s="58"/>
      <c r="Q20" s="58"/>
      <c r="R20" s="59"/>
      <c r="S20" s="62" t="s">
        <v>217</v>
      </c>
      <c r="T20" s="63"/>
      <c r="U20" s="64" t="s">
        <v>217</v>
      </c>
      <c r="V20" s="65"/>
      <c r="W20" s="65"/>
      <c r="X20" s="80" t="s">
        <v>300</v>
      </c>
    </row>
    <row r="21" spans="1:24" s="56" customFormat="1" ht="15.75" customHeight="1">
      <c r="A21" s="67" t="s">
        <v>243</v>
      </c>
      <c r="B21" s="58">
        <v>4</v>
      </c>
      <c r="C21" s="58">
        <v>8</v>
      </c>
      <c r="D21" s="58">
        <v>2</v>
      </c>
      <c r="E21" s="58" t="s">
        <v>58</v>
      </c>
      <c r="F21" s="58">
        <v>3</v>
      </c>
      <c r="G21" s="58" t="s">
        <v>58</v>
      </c>
      <c r="H21" s="58" t="s">
        <v>58</v>
      </c>
      <c r="I21" s="58">
        <v>2</v>
      </c>
      <c r="J21" s="58">
        <v>1</v>
      </c>
      <c r="K21" s="59" t="s">
        <v>58</v>
      </c>
      <c r="L21" s="60"/>
      <c r="M21" s="61"/>
      <c r="N21" s="58"/>
      <c r="O21" s="58"/>
      <c r="P21" s="58"/>
      <c r="Q21" s="58"/>
      <c r="R21" s="59"/>
      <c r="S21" s="62"/>
      <c r="T21" s="63"/>
      <c r="U21" s="64"/>
      <c r="V21" s="65"/>
      <c r="W21" s="65"/>
      <c r="X21" s="80" t="s">
        <v>71</v>
      </c>
    </row>
    <row r="22" spans="1:24" s="56" customFormat="1" ht="15.75" customHeight="1">
      <c r="A22" s="67"/>
      <c r="B22" s="58"/>
      <c r="C22" s="58"/>
      <c r="D22" s="58"/>
      <c r="E22" s="58"/>
      <c r="F22" s="58"/>
      <c r="G22" s="58"/>
      <c r="H22" s="58"/>
      <c r="I22" s="58"/>
      <c r="J22" s="58"/>
      <c r="K22" s="59"/>
      <c r="L22" s="60"/>
      <c r="M22" s="61"/>
      <c r="N22" s="58"/>
      <c r="O22" s="58"/>
      <c r="P22" s="58"/>
      <c r="Q22" s="58"/>
      <c r="R22" s="59"/>
      <c r="S22" s="62"/>
      <c r="T22" s="63"/>
      <c r="U22" s="64"/>
      <c r="V22" s="65"/>
      <c r="W22" s="65"/>
      <c r="X22" s="81"/>
    </row>
    <row r="23" spans="1:24" s="56" customFormat="1" ht="15.75" customHeight="1">
      <c r="A23" s="67"/>
      <c r="B23" s="58"/>
      <c r="C23" s="58"/>
      <c r="D23" s="58"/>
      <c r="E23" s="58"/>
      <c r="F23" s="58"/>
      <c r="G23" s="58"/>
      <c r="H23" s="58"/>
      <c r="I23" s="58"/>
      <c r="J23" s="58"/>
      <c r="K23" s="59"/>
      <c r="L23" s="60"/>
      <c r="M23" s="61"/>
      <c r="N23" s="58"/>
      <c r="O23" s="58"/>
      <c r="P23" s="58"/>
      <c r="Q23" s="58"/>
      <c r="R23" s="59"/>
      <c r="S23" s="62"/>
      <c r="T23" s="63"/>
      <c r="U23" s="64"/>
      <c r="V23" s="65"/>
      <c r="W23" s="65"/>
      <c r="X23" s="82"/>
    </row>
    <row r="24" spans="1:24" s="56" customFormat="1" ht="15.75" customHeight="1">
      <c r="A24" s="83" t="s">
        <v>106</v>
      </c>
      <c r="B24" s="68" t="s">
        <v>58</v>
      </c>
      <c r="C24" s="58">
        <v>4</v>
      </c>
      <c r="D24" s="58">
        <v>4</v>
      </c>
      <c r="E24" s="58">
        <v>3</v>
      </c>
      <c r="F24" s="58">
        <v>5</v>
      </c>
      <c r="G24" s="58">
        <v>5</v>
      </c>
      <c r="H24" s="58">
        <v>3</v>
      </c>
      <c r="I24" s="58">
        <v>3</v>
      </c>
      <c r="J24" s="58">
        <v>3</v>
      </c>
      <c r="K24" s="59">
        <v>9</v>
      </c>
      <c r="L24" s="60"/>
      <c r="M24" s="61"/>
      <c r="N24" s="58"/>
      <c r="O24" s="58">
        <v>1</v>
      </c>
      <c r="P24" s="58" t="s">
        <v>58</v>
      </c>
      <c r="Q24" s="58" t="s">
        <v>204</v>
      </c>
      <c r="R24" s="58" t="s">
        <v>58</v>
      </c>
      <c r="S24" s="62" t="str">
        <f>VLOOKUP(T24,RW,$Z$293,FALSE)</f>
        <v>6+</v>
      </c>
      <c r="T24" s="69">
        <f>VLOOKUP(Q24,Ruestung,$Z$284,FALSE)+IF(R24=1,1,0)+VLOOKUP(A31,Mount,AO$316,FALSE)</f>
        <v>1</v>
      </c>
      <c r="U24" s="64" t="s">
        <v>217</v>
      </c>
      <c r="V24" s="65"/>
      <c r="W24" s="65">
        <f>IF(B24="-",0,B24)*(360)</f>
        <v>0</v>
      </c>
      <c r="X24" s="70" t="s">
        <v>91</v>
      </c>
    </row>
    <row r="25" spans="1:24" s="56" customFormat="1" ht="15.75" customHeight="1">
      <c r="A25" s="71" t="s">
        <v>259</v>
      </c>
      <c r="B25" s="84" t="s">
        <v>44</v>
      </c>
      <c r="C25" s="58"/>
      <c r="D25" s="58"/>
      <c r="E25" s="58"/>
      <c r="F25" s="58"/>
      <c r="G25" s="58"/>
      <c r="H25" s="58"/>
      <c r="I25" s="58"/>
      <c r="J25" s="58"/>
      <c r="K25" s="59"/>
      <c r="L25" s="60"/>
      <c r="M25" s="61"/>
      <c r="N25" s="58"/>
      <c r="O25" s="58"/>
      <c r="P25" s="58"/>
      <c r="Q25" s="58"/>
      <c r="R25" s="59"/>
      <c r="S25" s="62"/>
      <c r="T25" s="63"/>
      <c r="U25" s="64"/>
      <c r="V25" s="65"/>
      <c r="W25" s="65"/>
      <c r="X25" s="77" t="s">
        <v>94</v>
      </c>
    </row>
    <row r="26" spans="1:24" s="56" customFormat="1" ht="15.75" customHeight="1">
      <c r="A26" s="71" t="s">
        <v>108</v>
      </c>
      <c r="B26" s="58"/>
      <c r="C26" s="58"/>
      <c r="D26" s="58"/>
      <c r="E26" s="58"/>
      <c r="F26" s="58"/>
      <c r="G26" s="58"/>
      <c r="H26" s="58"/>
      <c r="I26" s="58"/>
      <c r="J26" s="58"/>
      <c r="K26" s="59"/>
      <c r="L26" s="60"/>
      <c r="M26" s="61"/>
      <c r="N26" s="58"/>
      <c r="O26" s="58"/>
      <c r="P26" s="58"/>
      <c r="Q26" s="58"/>
      <c r="R26" s="59"/>
      <c r="S26" s="62"/>
      <c r="T26" s="63"/>
      <c r="U26" s="64"/>
      <c r="V26" s="65"/>
      <c r="W26" s="65"/>
      <c r="X26" s="77" t="s">
        <v>45</v>
      </c>
    </row>
    <row r="27" spans="1:24" s="56" customFormat="1" ht="15.75" customHeight="1">
      <c r="A27" s="71" t="s">
        <v>225</v>
      </c>
      <c r="B27" s="58"/>
      <c r="C27" s="58"/>
      <c r="D27" s="58"/>
      <c r="E27" s="58"/>
      <c r="F27" s="58"/>
      <c r="G27" s="58"/>
      <c r="H27" s="58"/>
      <c r="I27" s="58"/>
      <c r="J27" s="58"/>
      <c r="K27" s="59"/>
      <c r="L27" s="60"/>
      <c r="M27" s="61"/>
      <c r="N27" s="58"/>
      <c r="O27" s="58"/>
      <c r="P27" s="58"/>
      <c r="Q27" s="58"/>
      <c r="R27" s="59"/>
      <c r="S27" s="62"/>
      <c r="T27" s="63"/>
      <c r="U27" s="64"/>
      <c r="V27" s="65"/>
      <c r="W27" s="65"/>
      <c r="X27" s="85" t="s">
        <v>46</v>
      </c>
    </row>
    <row r="28" spans="1:24" s="56" customFormat="1" ht="15.75" customHeight="1">
      <c r="A28" s="71"/>
      <c r="B28" s="58"/>
      <c r="C28" s="58"/>
      <c r="D28" s="58"/>
      <c r="E28" s="58"/>
      <c r="F28" s="58"/>
      <c r="G28" s="58"/>
      <c r="H28" s="58"/>
      <c r="I28" s="58"/>
      <c r="J28" s="58"/>
      <c r="K28" s="59"/>
      <c r="L28" s="60"/>
      <c r="M28" s="61"/>
      <c r="N28" s="58"/>
      <c r="O28" s="58"/>
      <c r="P28" s="58"/>
      <c r="Q28" s="58"/>
      <c r="R28" s="59"/>
      <c r="S28" s="62"/>
      <c r="T28" s="63"/>
      <c r="U28" s="64"/>
      <c r="V28" s="65"/>
      <c r="W28" s="65"/>
      <c r="X28" s="85" t="s">
        <v>47</v>
      </c>
    </row>
    <row r="29" spans="1:24" s="56" customFormat="1" ht="15.75" customHeight="1">
      <c r="A29" s="71"/>
      <c r="B29" s="58"/>
      <c r="C29" s="58"/>
      <c r="D29" s="58"/>
      <c r="E29" s="58"/>
      <c r="F29" s="58"/>
      <c r="G29" s="58"/>
      <c r="H29" s="58"/>
      <c r="I29" s="58"/>
      <c r="J29" s="58"/>
      <c r="K29" s="59"/>
      <c r="L29" s="60"/>
      <c r="M29" s="61"/>
      <c r="N29" s="58"/>
      <c r="O29" s="58"/>
      <c r="P29" s="58"/>
      <c r="Q29" s="58"/>
      <c r="R29" s="59"/>
      <c r="S29" s="62"/>
      <c r="T29" s="63"/>
      <c r="U29" s="64"/>
      <c r="V29" s="65"/>
      <c r="W29" s="65"/>
      <c r="X29" s="80" t="s">
        <v>48</v>
      </c>
    </row>
    <row r="30" spans="1:24" s="56" customFormat="1" ht="15.75" customHeight="1">
      <c r="A30" s="67"/>
      <c r="B30" s="58"/>
      <c r="C30" s="58"/>
      <c r="D30" s="58"/>
      <c r="E30" s="58"/>
      <c r="F30" s="58"/>
      <c r="G30" s="58"/>
      <c r="H30" s="58"/>
      <c r="I30" s="58"/>
      <c r="J30" s="58"/>
      <c r="K30" s="59"/>
      <c r="L30" s="60"/>
      <c r="M30" s="61"/>
      <c r="N30" s="58"/>
      <c r="O30" s="58"/>
      <c r="P30" s="58"/>
      <c r="Q30" s="58"/>
      <c r="R30" s="59"/>
      <c r="S30" s="62"/>
      <c r="T30" s="63"/>
      <c r="U30" s="64"/>
      <c r="V30" s="65"/>
      <c r="W30" s="65"/>
      <c r="X30" s="80" t="s">
        <v>49</v>
      </c>
    </row>
    <row r="31" spans="1:24" s="56" customFormat="1" ht="15.75" customHeight="1">
      <c r="A31" s="67" t="s">
        <v>200</v>
      </c>
      <c r="B31" s="68">
        <v>1</v>
      </c>
      <c r="C31" s="58" t="str">
        <f>VLOOKUP(A31,Mount,Z$316,FALSE)</f>
        <v>-</v>
      </c>
      <c r="D31" s="58" t="str">
        <f>VLOOKUP(A31,Mount,AA$316,FALSE)</f>
        <v>-</v>
      </c>
      <c r="E31" s="58" t="str">
        <f>VLOOKUP(A31,Mount,AB$316,FALSE)</f>
        <v>-</v>
      </c>
      <c r="F31" s="58" t="str">
        <f>VLOOKUP(A31,Mount,AC$316,FALSE)</f>
        <v>-</v>
      </c>
      <c r="G31" s="58" t="str">
        <f>VLOOKUP(A31,Mount,AD$316,FALSE)</f>
        <v>-</v>
      </c>
      <c r="H31" s="58" t="str">
        <f>VLOOKUP(A31,Mount,AE$316,FALSE)</f>
        <v>-</v>
      </c>
      <c r="I31" s="58" t="str">
        <f>VLOOKUP(A31,Mount,AF$316,FALSE)</f>
        <v>-</v>
      </c>
      <c r="J31" s="58" t="str">
        <f>VLOOKUP(A31,Mount,AG$316,FALSE)</f>
        <v>-</v>
      </c>
      <c r="K31" s="58" t="str">
        <f>VLOOKUP(A31,Mount,AH$316,FALSE)</f>
        <v>-</v>
      </c>
      <c r="L31" s="60"/>
      <c r="M31" s="61"/>
      <c r="N31" s="58"/>
      <c r="O31" s="58"/>
      <c r="P31" s="58"/>
      <c r="Q31" s="58"/>
      <c r="R31" s="59"/>
      <c r="S31" s="62" t="str">
        <f>VLOOKUP(A31,Mount,AI$316,FALSE)</f>
        <v>-</v>
      </c>
      <c r="T31" s="69"/>
      <c r="U31" s="64"/>
      <c r="V31" s="65"/>
      <c r="W31" s="65">
        <f>IF(B31="-",0,B31)*(VLOOKUP($A31,Mount,$AJ$316,FALSE)+VLOOKUP(X33,Arkhan,$Z$365,FALSE)+IF(AND(A31="Skelettstreitwagen",B31=1,B32=4),15,0))</f>
        <v>0</v>
      </c>
      <c r="X31" s="86" t="str">
        <f>VLOOKUP($A31,Mount,AK$316,FALSE)</f>
        <v>-</v>
      </c>
    </row>
    <row r="32" spans="1:24" s="56" customFormat="1" ht="15.75" customHeight="1">
      <c r="A32" s="67" t="str">
        <f>IF(A31="Skelettstreitwagen","Skelettpferd","-")</f>
        <v>-</v>
      </c>
      <c r="B32" s="68">
        <v>2</v>
      </c>
      <c r="C32" s="58" t="str">
        <f>IF(A31="Skelettstreitwagen",8,"-")</f>
        <v>-</v>
      </c>
      <c r="D32" s="58" t="str">
        <f>IF(A31="Skelettstreitwagen",2,"-")</f>
        <v>-</v>
      </c>
      <c r="E32" s="58" t="s">
        <v>58</v>
      </c>
      <c r="F32" s="58" t="str">
        <f>IF(A31="Skelettstreitwagen",3,"-")</f>
        <v>-</v>
      </c>
      <c r="G32" s="58" t="s">
        <v>58</v>
      </c>
      <c r="H32" s="58" t="s">
        <v>58</v>
      </c>
      <c r="I32" s="58" t="str">
        <f>IF(A31="Skelettstreitwagen",2,"-")</f>
        <v>-</v>
      </c>
      <c r="J32" s="58" t="str">
        <f>IF(A31="Skelettstreitwagen",1,"-")</f>
        <v>-</v>
      </c>
      <c r="K32" s="59" t="s">
        <v>58</v>
      </c>
      <c r="L32" s="60"/>
      <c r="M32" s="61"/>
      <c r="N32" s="58"/>
      <c r="O32" s="58"/>
      <c r="P32" s="58"/>
      <c r="Q32" s="58"/>
      <c r="R32" s="59"/>
      <c r="S32" s="62"/>
      <c r="T32" s="58"/>
      <c r="U32" s="64"/>
      <c r="V32" s="65"/>
      <c r="W32" s="65"/>
      <c r="X32" s="86" t="str">
        <f>VLOOKUP($A31,Mount,AL$316,FALSE)</f>
        <v>-</v>
      </c>
    </row>
    <row r="33" spans="1:24" s="56" customFormat="1" ht="15.75" customHeight="1">
      <c r="A33" s="67"/>
      <c r="B33" s="58"/>
      <c r="C33" s="58"/>
      <c r="D33" s="58"/>
      <c r="E33" s="58"/>
      <c r="F33" s="58"/>
      <c r="G33" s="58"/>
      <c r="H33" s="58"/>
      <c r="I33" s="58"/>
      <c r="J33" s="58"/>
      <c r="K33" s="59"/>
      <c r="L33" s="60"/>
      <c r="M33" s="61"/>
      <c r="N33" s="58"/>
      <c r="O33" s="58"/>
      <c r="P33" s="58"/>
      <c r="Q33" s="58"/>
      <c r="R33" s="59"/>
      <c r="S33" s="62"/>
      <c r="T33" s="63"/>
      <c r="U33" s="64"/>
      <c r="V33" s="65"/>
      <c r="W33" s="65"/>
      <c r="X33" s="87" t="s">
        <v>298</v>
      </c>
    </row>
    <row r="34" spans="1:24" s="56" customFormat="1" ht="15.75" customHeight="1">
      <c r="A34" s="83"/>
      <c r="B34" s="58"/>
      <c r="C34" s="58"/>
      <c r="D34" s="58"/>
      <c r="E34" s="58"/>
      <c r="F34" s="58"/>
      <c r="G34" s="58"/>
      <c r="H34" s="58"/>
      <c r="I34" s="58"/>
      <c r="J34" s="58"/>
      <c r="K34" s="59"/>
      <c r="L34" s="60"/>
      <c r="M34" s="61"/>
      <c r="N34" s="58"/>
      <c r="O34" s="58"/>
      <c r="P34" s="58"/>
      <c r="Q34" s="58"/>
      <c r="R34" s="59"/>
      <c r="S34" s="62"/>
      <c r="T34" s="63"/>
      <c r="U34" s="64"/>
      <c r="V34" s="65"/>
      <c r="W34" s="65"/>
      <c r="X34" s="80"/>
    </row>
    <row r="35" spans="1:24" s="56" customFormat="1" ht="15.75" customHeight="1">
      <c r="A35" s="67"/>
      <c r="B35" s="58"/>
      <c r="C35" s="58"/>
      <c r="D35" s="58"/>
      <c r="E35" s="58"/>
      <c r="F35" s="58"/>
      <c r="G35" s="58"/>
      <c r="H35" s="58"/>
      <c r="I35" s="58"/>
      <c r="J35" s="58"/>
      <c r="K35" s="59"/>
      <c r="L35" s="60"/>
      <c r="M35" s="61"/>
      <c r="N35" s="58"/>
      <c r="O35" s="58"/>
      <c r="P35" s="58"/>
      <c r="Q35" s="58"/>
      <c r="R35" s="59"/>
      <c r="S35" s="62"/>
      <c r="T35" s="63"/>
      <c r="U35" s="64"/>
      <c r="V35" s="65"/>
      <c r="W35" s="65"/>
      <c r="X35" s="80"/>
    </row>
    <row r="36" spans="1:24" s="56" customFormat="1" ht="15.75" customHeight="1">
      <c r="A36" s="67" t="s">
        <v>105</v>
      </c>
      <c r="B36" s="68" t="s">
        <v>58</v>
      </c>
      <c r="C36" s="58">
        <v>6</v>
      </c>
      <c r="D36" s="58">
        <v>6</v>
      </c>
      <c r="E36" s="58">
        <v>3</v>
      </c>
      <c r="F36" s="58">
        <v>4</v>
      </c>
      <c r="G36" s="58">
        <v>5</v>
      </c>
      <c r="H36" s="58">
        <v>3</v>
      </c>
      <c r="I36" s="58">
        <v>9</v>
      </c>
      <c r="J36" s="58">
        <v>5</v>
      </c>
      <c r="K36" s="59">
        <v>10</v>
      </c>
      <c r="L36" s="60"/>
      <c r="M36" s="61"/>
      <c r="N36" s="58"/>
      <c r="O36" s="58">
        <v>1</v>
      </c>
      <c r="P36" s="88" t="s">
        <v>58</v>
      </c>
      <c r="Q36" s="58" t="s">
        <v>204</v>
      </c>
      <c r="R36" s="88" t="s">
        <v>58</v>
      </c>
      <c r="S36" s="62" t="str">
        <f>VLOOKUP(T36,RW,$Z$293,FALSE)</f>
        <v>6+</v>
      </c>
      <c r="T36" s="69">
        <f>VLOOKUP(Q36,Ruestung2,$Z$284,FALSE)+IF(R36=1,1,0)</f>
        <v>1</v>
      </c>
      <c r="U36" s="64"/>
      <c r="V36" s="65"/>
      <c r="W36" s="65">
        <f>IF(B36="-",0,B36)*365</f>
        <v>0</v>
      </c>
      <c r="X36" s="70" t="s">
        <v>91</v>
      </c>
    </row>
    <row r="37" spans="1:24" s="56" customFormat="1" ht="15.75" customHeight="1">
      <c r="A37" s="71" t="s">
        <v>108</v>
      </c>
      <c r="B37" s="58"/>
      <c r="C37" s="58"/>
      <c r="D37" s="58"/>
      <c r="E37" s="58"/>
      <c r="F37" s="58"/>
      <c r="G37" s="58"/>
      <c r="H37" s="58"/>
      <c r="I37" s="58"/>
      <c r="J37" s="58"/>
      <c r="K37" s="59"/>
      <c r="L37" s="60"/>
      <c r="M37" s="61"/>
      <c r="N37" s="58"/>
      <c r="O37" s="58"/>
      <c r="P37" s="58"/>
      <c r="Q37" s="78"/>
      <c r="R37" s="59"/>
      <c r="S37" s="62"/>
      <c r="T37" s="73"/>
      <c r="U37" s="64"/>
      <c r="V37" s="65"/>
      <c r="W37" s="65"/>
      <c r="X37" s="77" t="s">
        <v>94</v>
      </c>
    </row>
    <row r="38" spans="1:24" s="56" customFormat="1" ht="15.75" customHeight="1">
      <c r="A38" s="71"/>
      <c r="B38" s="58"/>
      <c r="C38" s="58"/>
      <c r="D38" s="58"/>
      <c r="E38" s="58"/>
      <c r="F38" s="58"/>
      <c r="G38" s="58"/>
      <c r="H38" s="58"/>
      <c r="I38" s="58"/>
      <c r="J38" s="58"/>
      <c r="K38" s="59"/>
      <c r="L38" s="60"/>
      <c r="M38" s="61"/>
      <c r="N38" s="58"/>
      <c r="O38" s="58"/>
      <c r="P38" s="58"/>
      <c r="Q38" s="78"/>
      <c r="R38" s="59"/>
      <c r="S38" s="62"/>
      <c r="T38" s="73"/>
      <c r="U38" s="64"/>
      <c r="V38" s="65"/>
      <c r="W38" s="65"/>
      <c r="X38" s="77" t="s">
        <v>15</v>
      </c>
    </row>
    <row r="39" spans="1:24" s="56" customFormat="1" ht="15.75" customHeight="1">
      <c r="A39" s="71"/>
      <c r="B39" s="58"/>
      <c r="C39" s="58"/>
      <c r="D39" s="58"/>
      <c r="E39" s="58"/>
      <c r="F39" s="58"/>
      <c r="G39" s="58"/>
      <c r="H39" s="58"/>
      <c r="I39" s="58"/>
      <c r="J39" s="58"/>
      <c r="K39" s="59"/>
      <c r="L39" s="60"/>
      <c r="M39" s="61"/>
      <c r="N39" s="58"/>
      <c r="O39" s="58"/>
      <c r="P39" s="58"/>
      <c r="Q39" s="58"/>
      <c r="R39" s="59"/>
      <c r="S39" s="62"/>
      <c r="T39" s="63"/>
      <c r="U39" s="64"/>
      <c r="V39" s="65"/>
      <c r="W39" s="65"/>
      <c r="X39" s="89" t="s">
        <v>14</v>
      </c>
    </row>
    <row r="40" spans="1:24" s="56" customFormat="1" ht="15.75" customHeight="1">
      <c r="A40" s="67"/>
      <c r="B40" s="58"/>
      <c r="C40" s="58"/>
      <c r="D40" s="58"/>
      <c r="E40" s="58"/>
      <c r="F40" s="58"/>
      <c r="G40" s="58"/>
      <c r="H40" s="58"/>
      <c r="I40" s="58"/>
      <c r="J40" s="58"/>
      <c r="K40" s="59"/>
      <c r="L40" s="60"/>
      <c r="M40" s="61"/>
      <c r="N40" s="58"/>
      <c r="O40" s="58"/>
      <c r="P40" s="58"/>
      <c r="Q40" s="58"/>
      <c r="R40" s="59"/>
      <c r="S40" s="62"/>
      <c r="T40" s="63"/>
      <c r="U40" s="64"/>
      <c r="V40" s="65"/>
      <c r="W40" s="65"/>
      <c r="X40" s="79" t="s">
        <v>16</v>
      </c>
    </row>
    <row r="41" spans="1:24" s="56" customFormat="1" ht="15.75" customHeight="1">
      <c r="A41" s="71"/>
      <c r="B41" s="58"/>
      <c r="C41" s="58"/>
      <c r="D41" s="58"/>
      <c r="E41" s="58"/>
      <c r="F41" s="58"/>
      <c r="G41" s="58"/>
      <c r="H41" s="58"/>
      <c r="I41" s="58"/>
      <c r="J41" s="58"/>
      <c r="K41" s="59"/>
      <c r="L41" s="60"/>
      <c r="M41" s="61"/>
      <c r="N41" s="58"/>
      <c r="O41" s="58"/>
      <c r="P41" s="58"/>
      <c r="Q41" s="58"/>
      <c r="R41" s="59"/>
      <c r="S41" s="62"/>
      <c r="T41" s="63"/>
      <c r="U41" s="64"/>
      <c r="V41" s="65"/>
      <c r="W41" s="65"/>
      <c r="X41" s="80" t="s">
        <v>17</v>
      </c>
    </row>
    <row r="42" spans="1:24" s="56" customFormat="1" ht="15.75" customHeight="1">
      <c r="A42" s="67"/>
      <c r="B42" s="58"/>
      <c r="C42" s="58"/>
      <c r="D42" s="58"/>
      <c r="E42" s="58"/>
      <c r="F42" s="58"/>
      <c r="G42" s="58"/>
      <c r="H42" s="58"/>
      <c r="I42" s="58"/>
      <c r="J42" s="58"/>
      <c r="K42" s="59"/>
      <c r="L42" s="60"/>
      <c r="M42" s="61"/>
      <c r="N42" s="58"/>
      <c r="O42" s="58"/>
      <c r="P42" s="58"/>
      <c r="Q42" s="58"/>
      <c r="R42" s="59"/>
      <c r="S42" s="62"/>
      <c r="T42" s="63"/>
      <c r="U42" s="64"/>
      <c r="V42" s="65"/>
      <c r="W42" s="65"/>
      <c r="X42" s="80" t="s">
        <v>90</v>
      </c>
    </row>
    <row r="43" spans="1:24" s="56" customFormat="1" ht="15.75" customHeight="1">
      <c r="A43" s="67"/>
      <c r="B43" s="58"/>
      <c r="C43" s="58"/>
      <c r="D43" s="58"/>
      <c r="E43" s="58"/>
      <c r="F43" s="58"/>
      <c r="G43" s="58"/>
      <c r="H43" s="58"/>
      <c r="I43" s="58"/>
      <c r="J43" s="58"/>
      <c r="K43" s="59"/>
      <c r="L43" s="60"/>
      <c r="M43" s="61"/>
      <c r="N43" s="58"/>
      <c r="O43" s="58"/>
      <c r="P43" s="58"/>
      <c r="Q43" s="58"/>
      <c r="R43" s="59"/>
      <c r="S43" s="62"/>
      <c r="T43" s="63"/>
      <c r="U43" s="64"/>
      <c r="V43" s="65"/>
      <c r="W43" s="65"/>
      <c r="X43" s="80" t="s">
        <v>18</v>
      </c>
    </row>
    <row r="44" spans="1:24" s="56" customFormat="1" ht="15.75" customHeight="1">
      <c r="A44" s="67"/>
      <c r="B44" s="58"/>
      <c r="C44" s="58"/>
      <c r="D44" s="58"/>
      <c r="E44" s="58"/>
      <c r="F44" s="58"/>
      <c r="G44" s="58"/>
      <c r="H44" s="58"/>
      <c r="I44" s="58"/>
      <c r="J44" s="58"/>
      <c r="K44" s="59"/>
      <c r="L44" s="60"/>
      <c r="M44" s="61"/>
      <c r="N44" s="58"/>
      <c r="O44" s="58"/>
      <c r="P44" s="58"/>
      <c r="Q44" s="58"/>
      <c r="R44" s="59"/>
      <c r="S44" s="62"/>
      <c r="T44" s="63"/>
      <c r="U44" s="64"/>
      <c r="V44" s="65"/>
      <c r="W44" s="65"/>
      <c r="X44" s="80"/>
    </row>
    <row r="45" spans="1:24" s="56" customFormat="1" ht="15.75" customHeight="1">
      <c r="A45" s="67"/>
      <c r="B45" s="58"/>
      <c r="C45" s="58"/>
      <c r="D45" s="58"/>
      <c r="E45" s="58"/>
      <c r="F45" s="58"/>
      <c r="G45" s="58"/>
      <c r="H45" s="58"/>
      <c r="I45" s="58"/>
      <c r="J45" s="58"/>
      <c r="K45" s="59"/>
      <c r="L45" s="60"/>
      <c r="M45" s="61"/>
      <c r="N45" s="58"/>
      <c r="O45" s="58"/>
      <c r="P45" s="58"/>
      <c r="Q45" s="58"/>
      <c r="R45" s="59"/>
      <c r="S45" s="62"/>
      <c r="T45" s="63"/>
      <c r="U45" s="64"/>
      <c r="V45" s="65"/>
      <c r="W45" s="65"/>
      <c r="X45" s="80"/>
    </row>
    <row r="46" spans="1:24" s="56" customFormat="1" ht="15.75" customHeight="1">
      <c r="A46" s="67"/>
      <c r="B46" s="58"/>
      <c r="C46" s="58"/>
      <c r="D46" s="58"/>
      <c r="E46" s="58"/>
      <c r="F46" s="58"/>
      <c r="G46" s="58"/>
      <c r="H46" s="58"/>
      <c r="I46" s="58"/>
      <c r="J46" s="58"/>
      <c r="K46" s="59"/>
      <c r="L46" s="60"/>
      <c r="M46" s="61"/>
      <c r="N46" s="58"/>
      <c r="O46" s="58"/>
      <c r="P46" s="58"/>
      <c r="Q46" s="58"/>
      <c r="R46" s="59"/>
      <c r="S46" s="62"/>
      <c r="T46" s="63"/>
      <c r="U46" s="64"/>
      <c r="V46" s="65"/>
      <c r="W46" s="65"/>
      <c r="X46" s="80"/>
    </row>
    <row r="47" spans="1:24" s="56" customFormat="1" ht="15.75" customHeight="1">
      <c r="A47" s="67"/>
      <c r="B47" s="58"/>
      <c r="C47" s="58"/>
      <c r="D47" s="58"/>
      <c r="E47" s="58"/>
      <c r="F47" s="58"/>
      <c r="G47" s="58"/>
      <c r="H47" s="58"/>
      <c r="I47" s="58"/>
      <c r="J47" s="58"/>
      <c r="K47" s="59"/>
      <c r="L47" s="60"/>
      <c r="M47" s="61"/>
      <c r="N47" s="58"/>
      <c r="O47" s="58"/>
      <c r="P47" s="58"/>
      <c r="Q47" s="58"/>
      <c r="R47" s="59"/>
      <c r="S47" s="62"/>
      <c r="T47" s="63"/>
      <c r="U47" s="64"/>
      <c r="V47" s="65"/>
      <c r="W47" s="65"/>
      <c r="X47" s="90"/>
    </row>
    <row r="48" spans="1:24" s="92" customFormat="1" ht="15.75" customHeight="1">
      <c r="A48" s="67" t="s">
        <v>107</v>
      </c>
      <c r="B48" s="68" t="s">
        <v>58</v>
      </c>
      <c r="C48" s="58">
        <v>4</v>
      </c>
      <c r="D48" s="58">
        <v>3</v>
      </c>
      <c r="E48" s="58">
        <v>3</v>
      </c>
      <c r="F48" s="58">
        <v>3</v>
      </c>
      <c r="G48" s="58">
        <v>4</v>
      </c>
      <c r="H48" s="58">
        <v>3</v>
      </c>
      <c r="I48" s="58">
        <v>2</v>
      </c>
      <c r="J48" s="58">
        <v>1</v>
      </c>
      <c r="K48" s="59">
        <v>9</v>
      </c>
      <c r="L48" s="60"/>
      <c r="M48" s="61"/>
      <c r="N48" s="58"/>
      <c r="O48" s="58">
        <v>1</v>
      </c>
      <c r="P48" s="58" t="s">
        <v>58</v>
      </c>
      <c r="Q48" s="58" t="s">
        <v>58</v>
      </c>
      <c r="R48" s="58" t="s">
        <v>58</v>
      </c>
      <c r="S48" s="62" t="s">
        <v>33</v>
      </c>
      <c r="T48" s="91"/>
      <c r="U48" s="64"/>
      <c r="V48" s="65"/>
      <c r="W48" s="65">
        <f>330*IF(B48="-",0,B48)</f>
        <v>0</v>
      </c>
      <c r="X48" s="70" t="s">
        <v>7</v>
      </c>
    </row>
    <row r="49" spans="1:24" s="92" customFormat="1" ht="15.75" customHeight="1">
      <c r="A49" s="71" t="s">
        <v>259</v>
      </c>
      <c r="B49" s="58">
        <v>4</v>
      </c>
      <c r="C49" s="58"/>
      <c r="D49" s="58"/>
      <c r="E49" s="58"/>
      <c r="F49" s="58"/>
      <c r="G49" s="58"/>
      <c r="H49" s="58"/>
      <c r="I49" s="58"/>
      <c r="J49" s="58"/>
      <c r="K49" s="59"/>
      <c r="L49" s="60"/>
      <c r="M49" s="61"/>
      <c r="N49" s="58"/>
      <c r="O49" s="58"/>
      <c r="P49" s="58"/>
      <c r="Q49" s="58"/>
      <c r="R49" s="59"/>
      <c r="S49" s="93"/>
      <c r="T49" s="94"/>
      <c r="U49" s="64"/>
      <c r="V49" s="65"/>
      <c r="W49" s="65"/>
      <c r="X49" s="75" t="s">
        <v>8</v>
      </c>
    </row>
    <row r="50" spans="1:24" s="92" customFormat="1" ht="15.75" customHeight="1">
      <c r="A50" s="71" t="s">
        <v>225</v>
      </c>
      <c r="B50" s="58"/>
      <c r="C50" s="58"/>
      <c r="D50" s="58"/>
      <c r="E50" s="58"/>
      <c r="F50" s="58"/>
      <c r="G50" s="58"/>
      <c r="H50" s="58"/>
      <c r="I50" s="58"/>
      <c r="J50" s="58"/>
      <c r="K50" s="59"/>
      <c r="L50" s="60"/>
      <c r="M50" s="61"/>
      <c r="N50" s="58"/>
      <c r="O50" s="58"/>
      <c r="P50" s="58"/>
      <c r="Q50" s="58"/>
      <c r="R50" s="59"/>
      <c r="S50" s="93"/>
      <c r="T50" s="94"/>
      <c r="U50" s="64"/>
      <c r="V50" s="65"/>
      <c r="W50" s="65"/>
      <c r="X50" s="77" t="s">
        <v>9</v>
      </c>
    </row>
    <row r="51" spans="1:24" s="92" customFormat="1" ht="15.75" customHeight="1">
      <c r="A51" s="67"/>
      <c r="B51" s="58"/>
      <c r="C51" s="58"/>
      <c r="D51" s="58"/>
      <c r="E51" s="58"/>
      <c r="F51" s="58"/>
      <c r="G51" s="58"/>
      <c r="H51" s="58"/>
      <c r="I51" s="58"/>
      <c r="J51" s="58"/>
      <c r="K51" s="59"/>
      <c r="L51" s="60"/>
      <c r="M51" s="61"/>
      <c r="N51" s="58"/>
      <c r="O51" s="58"/>
      <c r="P51" s="58"/>
      <c r="Q51" s="58"/>
      <c r="R51" s="59"/>
      <c r="S51" s="93"/>
      <c r="T51" s="94"/>
      <c r="U51" s="64"/>
      <c r="V51" s="65"/>
      <c r="W51" s="65"/>
      <c r="X51" s="95" t="s">
        <v>10</v>
      </c>
    </row>
    <row r="52" spans="1:24" s="92" customFormat="1" ht="15.75" customHeight="1">
      <c r="A52" s="71"/>
      <c r="B52" s="58"/>
      <c r="C52" s="58"/>
      <c r="D52" s="58"/>
      <c r="E52" s="58"/>
      <c r="F52" s="58"/>
      <c r="G52" s="58"/>
      <c r="H52" s="58"/>
      <c r="I52" s="58"/>
      <c r="J52" s="58"/>
      <c r="K52" s="59"/>
      <c r="L52" s="60"/>
      <c r="M52" s="61"/>
      <c r="N52" s="58"/>
      <c r="O52" s="58"/>
      <c r="P52" s="58"/>
      <c r="Q52" s="58"/>
      <c r="R52" s="59"/>
      <c r="S52" s="93"/>
      <c r="T52" s="94"/>
      <c r="U52" s="64"/>
      <c r="V52" s="65"/>
      <c r="W52" s="65"/>
      <c r="X52" s="79" t="s">
        <v>11</v>
      </c>
    </row>
    <row r="53" spans="1:24" s="92" customFormat="1" ht="15.75" customHeight="1">
      <c r="A53" s="67"/>
      <c r="B53" s="58"/>
      <c r="C53" s="58"/>
      <c r="D53" s="58"/>
      <c r="E53" s="58"/>
      <c r="F53" s="58"/>
      <c r="G53" s="58"/>
      <c r="H53" s="58"/>
      <c r="I53" s="58"/>
      <c r="J53" s="58"/>
      <c r="K53" s="59"/>
      <c r="L53" s="60"/>
      <c r="M53" s="61"/>
      <c r="N53" s="58"/>
      <c r="O53" s="58"/>
      <c r="P53" s="58"/>
      <c r="Q53" s="58"/>
      <c r="R53" s="59"/>
      <c r="S53" s="93"/>
      <c r="T53" s="94"/>
      <c r="U53" s="64"/>
      <c r="V53" s="65"/>
      <c r="W53" s="65"/>
      <c r="X53" s="77" t="s">
        <v>12</v>
      </c>
    </row>
    <row r="54" spans="1:24" s="92" customFormat="1" ht="15.75" customHeight="1">
      <c r="A54" s="67"/>
      <c r="B54" s="58"/>
      <c r="C54" s="58"/>
      <c r="D54" s="58"/>
      <c r="E54" s="58"/>
      <c r="F54" s="58"/>
      <c r="G54" s="58"/>
      <c r="H54" s="58"/>
      <c r="I54" s="58"/>
      <c r="J54" s="58"/>
      <c r="K54" s="59"/>
      <c r="L54" s="60"/>
      <c r="M54" s="61"/>
      <c r="N54" s="58"/>
      <c r="O54" s="58"/>
      <c r="P54" s="58"/>
      <c r="Q54" s="58"/>
      <c r="R54" s="59"/>
      <c r="S54" s="93"/>
      <c r="T54" s="94"/>
      <c r="U54" s="64"/>
      <c r="V54" s="65"/>
      <c r="W54" s="65"/>
      <c r="X54" s="77" t="s">
        <v>13</v>
      </c>
    </row>
    <row r="55" spans="1:24" s="92" customFormat="1" ht="15.75" customHeight="1">
      <c r="A55" s="67"/>
      <c r="B55" s="58"/>
      <c r="C55" s="58"/>
      <c r="D55" s="58"/>
      <c r="E55" s="58"/>
      <c r="F55" s="58"/>
      <c r="G55" s="58"/>
      <c r="H55" s="58"/>
      <c r="I55" s="58"/>
      <c r="J55" s="58"/>
      <c r="K55" s="59"/>
      <c r="L55" s="60"/>
      <c r="M55" s="61"/>
      <c r="N55" s="58"/>
      <c r="O55" s="58"/>
      <c r="P55" s="58"/>
      <c r="Q55" s="58"/>
      <c r="R55" s="59"/>
      <c r="S55" s="62"/>
      <c r="T55" s="63"/>
      <c r="U55" s="64"/>
      <c r="V55" s="65"/>
      <c r="W55" s="65"/>
      <c r="X55" s="80"/>
    </row>
    <row r="56" spans="1:24" s="97" customFormat="1" ht="15.75" customHeight="1">
      <c r="A56" s="67"/>
      <c r="B56" s="58"/>
      <c r="C56" s="58"/>
      <c r="D56" s="58"/>
      <c r="E56" s="58"/>
      <c r="F56" s="58"/>
      <c r="G56" s="58"/>
      <c r="H56" s="58"/>
      <c r="I56" s="58"/>
      <c r="J56" s="58"/>
      <c r="K56" s="59"/>
      <c r="L56" s="60"/>
      <c r="M56" s="61"/>
      <c r="N56" s="58"/>
      <c r="O56" s="58"/>
      <c r="P56" s="58"/>
      <c r="Q56" s="58"/>
      <c r="R56" s="59"/>
      <c r="S56" s="93"/>
      <c r="T56" s="58"/>
      <c r="U56" s="64"/>
      <c r="V56" s="65"/>
      <c r="W56" s="65"/>
      <c r="X56" s="96"/>
    </row>
    <row r="57" spans="1:24" s="97" customFormat="1" ht="15.75" customHeight="1">
      <c r="A57" s="57" t="s">
        <v>108</v>
      </c>
      <c r="B57" s="68" t="s">
        <v>58</v>
      </c>
      <c r="C57" s="58">
        <v>4</v>
      </c>
      <c r="D57" s="58">
        <v>6</v>
      </c>
      <c r="E57" s="58">
        <v>3</v>
      </c>
      <c r="F57" s="78" t="s">
        <v>98</v>
      </c>
      <c r="G57" s="58">
        <v>5</v>
      </c>
      <c r="H57" s="58">
        <v>4</v>
      </c>
      <c r="I57" s="58">
        <v>3</v>
      </c>
      <c r="J57" s="58">
        <v>4</v>
      </c>
      <c r="K57" s="59">
        <v>10</v>
      </c>
      <c r="L57" s="98"/>
      <c r="M57" s="61"/>
      <c r="N57" s="58"/>
      <c r="O57" s="58">
        <v>1</v>
      </c>
      <c r="P57" s="68" t="s">
        <v>58</v>
      </c>
      <c r="Q57" s="58" t="s">
        <v>204</v>
      </c>
      <c r="R57" s="68" t="s">
        <v>58</v>
      </c>
      <c r="S57" s="62" t="str">
        <f>VLOOKUP(T57,RW,$Z$293,FALSE)</f>
        <v>6+</v>
      </c>
      <c r="T57" s="69">
        <f>VLOOKUP(Q57,Ruestung,$Z$284,FALSE)+IF(R57=1,1,0)+VLOOKUP(A62,Mount,AO$316,FALSE)</f>
        <v>1</v>
      </c>
      <c r="U57" s="64"/>
      <c r="V57" s="99" t="s">
        <v>58</v>
      </c>
      <c r="W57" s="65">
        <f>IF(B57="-",0,B57)*(170+IF(R57=1,3,0)+IF(P57=1,6,0)+IF(V57="-",0,V57)+VLOOKUP(X61,Waffe,$Z$329,FALSE))</f>
        <v>0</v>
      </c>
      <c r="X57" s="70" t="s">
        <v>91</v>
      </c>
    </row>
    <row r="58" spans="1:24" s="97" customFormat="1" ht="15.75" customHeight="1">
      <c r="A58" s="71"/>
      <c r="B58" s="58"/>
      <c r="C58" s="58"/>
      <c r="D58" s="58"/>
      <c r="E58" s="58"/>
      <c r="F58" s="58"/>
      <c r="G58" s="58"/>
      <c r="H58" s="58"/>
      <c r="I58" s="58"/>
      <c r="J58" s="58"/>
      <c r="K58" s="59"/>
      <c r="L58" s="98"/>
      <c r="M58" s="61"/>
      <c r="N58" s="58"/>
      <c r="O58" s="58"/>
      <c r="P58" s="100"/>
      <c r="Q58" s="100"/>
      <c r="R58" s="101"/>
      <c r="S58" s="62"/>
      <c r="T58" s="102"/>
      <c r="U58" s="64"/>
      <c r="V58" s="65"/>
      <c r="W58" s="65"/>
      <c r="X58" s="75" t="s">
        <v>92</v>
      </c>
    </row>
    <row r="59" spans="1:24" s="97" customFormat="1" ht="15.75" customHeight="1">
      <c r="A59" s="67"/>
      <c r="B59" s="58"/>
      <c r="C59" s="58"/>
      <c r="D59" s="58"/>
      <c r="E59" s="58"/>
      <c r="F59" s="58"/>
      <c r="G59" s="58"/>
      <c r="H59" s="58"/>
      <c r="I59" s="58"/>
      <c r="J59" s="58"/>
      <c r="K59" s="59"/>
      <c r="L59" s="98"/>
      <c r="M59" s="61"/>
      <c r="N59" s="58"/>
      <c r="O59" s="58"/>
      <c r="P59" s="58"/>
      <c r="Q59" s="58"/>
      <c r="R59" s="59"/>
      <c r="S59" s="62"/>
      <c r="T59" s="102"/>
      <c r="U59" s="64"/>
      <c r="V59" s="65"/>
      <c r="W59" s="65"/>
      <c r="X59" s="77" t="s">
        <v>94</v>
      </c>
    </row>
    <row r="60" spans="1:24" s="56" customFormat="1" ht="15.75" customHeight="1">
      <c r="A60" s="67"/>
      <c r="B60" s="58"/>
      <c r="C60" s="58"/>
      <c r="D60" s="58"/>
      <c r="E60" s="58"/>
      <c r="F60" s="58"/>
      <c r="G60" s="58"/>
      <c r="H60" s="58"/>
      <c r="I60" s="58"/>
      <c r="J60" s="58"/>
      <c r="K60" s="59"/>
      <c r="L60" s="98"/>
      <c r="M60" s="61"/>
      <c r="N60" s="58"/>
      <c r="O60" s="58"/>
      <c r="P60" s="58"/>
      <c r="Q60" s="58"/>
      <c r="R60" s="59"/>
      <c r="S60" s="93"/>
      <c r="T60" s="103"/>
      <c r="U60" s="64"/>
      <c r="V60" s="65"/>
      <c r="W60" s="65"/>
      <c r="X60" s="77" t="s">
        <v>93</v>
      </c>
    </row>
    <row r="61" spans="1:24" s="56" customFormat="1" ht="15.75" customHeight="1">
      <c r="A61" s="67"/>
      <c r="B61" s="58"/>
      <c r="C61" s="58"/>
      <c r="D61" s="58"/>
      <c r="E61" s="58"/>
      <c r="F61" s="58"/>
      <c r="G61" s="58"/>
      <c r="H61" s="58"/>
      <c r="I61" s="58"/>
      <c r="J61" s="58"/>
      <c r="K61" s="59"/>
      <c r="L61" s="60"/>
      <c r="M61" s="61"/>
      <c r="N61" s="58"/>
      <c r="O61" s="58"/>
      <c r="P61" s="58"/>
      <c r="Q61" s="58"/>
      <c r="R61" s="59"/>
      <c r="S61" s="93"/>
      <c r="T61" s="94"/>
      <c r="U61" s="64"/>
      <c r="V61" s="65"/>
      <c r="W61" s="65"/>
      <c r="X61" s="87" t="s">
        <v>330</v>
      </c>
    </row>
    <row r="62" spans="1:24" s="56" customFormat="1" ht="15.75" customHeight="1">
      <c r="A62" s="57" t="s">
        <v>200</v>
      </c>
      <c r="B62" s="68">
        <v>1</v>
      </c>
      <c r="C62" s="58" t="str">
        <f>VLOOKUP(A62,Mount,Z$316,FALSE)</f>
        <v>-</v>
      </c>
      <c r="D62" s="58" t="str">
        <f>VLOOKUP(A62,Mount,AA$316,FALSE)</f>
        <v>-</v>
      </c>
      <c r="E62" s="58" t="str">
        <f>VLOOKUP(A62,Mount,AB$316,FALSE)</f>
        <v>-</v>
      </c>
      <c r="F62" s="58" t="str">
        <f>VLOOKUP(A62,Mount,AC$316,FALSE)</f>
        <v>-</v>
      </c>
      <c r="G62" s="58" t="str">
        <f>VLOOKUP(A62,Mount,AD$316,FALSE)</f>
        <v>-</v>
      </c>
      <c r="H62" s="58" t="str">
        <f>VLOOKUP(A62,Mount,AE$316,FALSE)</f>
        <v>-</v>
      </c>
      <c r="I62" s="58" t="str">
        <f>VLOOKUP(A62,Mount,AF$316,FALSE)</f>
        <v>-</v>
      </c>
      <c r="J62" s="58" t="str">
        <f>VLOOKUP(A62,Mount,AG$316,FALSE)</f>
        <v>-</v>
      </c>
      <c r="K62" s="58" t="str">
        <f>VLOOKUP(A62,Mount,AH$316,FALSE)</f>
        <v>-</v>
      </c>
      <c r="L62" s="60"/>
      <c r="M62" s="61"/>
      <c r="N62" s="58"/>
      <c r="O62" s="58"/>
      <c r="P62" s="58"/>
      <c r="Q62" s="58"/>
      <c r="R62" s="59"/>
      <c r="S62" s="62" t="str">
        <f>VLOOKUP(A62,Mount,AI$316,FALSE)</f>
        <v>-</v>
      </c>
      <c r="T62" s="69"/>
      <c r="U62" s="64"/>
      <c r="V62" s="65"/>
      <c r="W62" s="65">
        <f>IF(B62="-",0,B62)*(VLOOKUP($A62,Mount,$AJ$316,FALSE))+IF(AND(A62="Khemrische Kriegssphinx",B62=1),VLOOKUP(X65,Sphinx,$Z$346,FALSE),0)+IF(AND(A62="Khemrische Kriegssphinx",B62=1),VLOOKUP(X66,Sphinx,$Z$346,FALSE),0)</f>
        <v>0</v>
      </c>
      <c r="X62" s="86" t="str">
        <f>VLOOKUP($A62,Mount,AK$316,FALSE)</f>
        <v>-</v>
      </c>
    </row>
    <row r="63" spans="1:24" s="56" customFormat="1" ht="15.75" customHeight="1">
      <c r="A63" s="57" t="str">
        <f>IF(A62="Skelettstreitwagen","Skelettpferd","-")</f>
        <v>-</v>
      </c>
      <c r="B63" s="58" t="str">
        <f>IF(A62="Skelettstreitwagen",B62*2,"-")</f>
        <v>-</v>
      </c>
      <c r="C63" s="58" t="str">
        <f>IF(A62="Skelettstreitwagen",8,"-")</f>
        <v>-</v>
      </c>
      <c r="D63" s="58" t="str">
        <f>IF(A62="Skelettstreitwagen",2,"-")</f>
        <v>-</v>
      </c>
      <c r="E63" s="58" t="s">
        <v>58</v>
      </c>
      <c r="F63" s="58" t="str">
        <f>IF(A62="Skelettstreitwagen",3,"-")</f>
        <v>-</v>
      </c>
      <c r="G63" s="58" t="s">
        <v>58</v>
      </c>
      <c r="H63" s="58" t="s">
        <v>58</v>
      </c>
      <c r="I63" s="58" t="str">
        <f>IF(A62="Skelettstreitwagen",2,"-")</f>
        <v>-</v>
      </c>
      <c r="J63" s="58" t="str">
        <f>IF(A62="Skelettstreitwagen",1,"-")</f>
        <v>-</v>
      </c>
      <c r="K63" s="59" t="s">
        <v>58</v>
      </c>
      <c r="L63" s="60"/>
      <c r="M63" s="61"/>
      <c r="N63" s="58"/>
      <c r="O63" s="58"/>
      <c r="P63" s="58"/>
      <c r="Q63" s="58"/>
      <c r="R63" s="59"/>
      <c r="S63" s="62"/>
      <c r="T63" s="58"/>
      <c r="U63" s="64"/>
      <c r="V63" s="65"/>
      <c r="W63" s="65"/>
      <c r="X63" s="86" t="str">
        <f>VLOOKUP($A62,Mount,AL$316,FALSE)</f>
        <v>-</v>
      </c>
    </row>
    <row r="64" spans="1:24" s="56" customFormat="1" ht="15.75" customHeight="1">
      <c r="A64" s="83"/>
      <c r="B64" s="58"/>
      <c r="C64" s="58"/>
      <c r="D64" s="58"/>
      <c r="E64" s="58"/>
      <c r="F64" s="58"/>
      <c r="G64" s="58"/>
      <c r="H64" s="58"/>
      <c r="I64" s="58"/>
      <c r="J64" s="58"/>
      <c r="K64" s="59"/>
      <c r="L64" s="60"/>
      <c r="M64" s="61"/>
      <c r="N64" s="58"/>
      <c r="O64" s="58"/>
      <c r="P64" s="58"/>
      <c r="Q64" s="58"/>
      <c r="R64" s="59"/>
      <c r="S64" s="62"/>
      <c r="T64" s="58"/>
      <c r="U64" s="64"/>
      <c r="V64" s="65"/>
      <c r="W64" s="65"/>
      <c r="X64" s="104" t="str">
        <f>VLOOKUP($A62,Mount,$AN$316,FALSE)</f>
        <v>-</v>
      </c>
    </row>
    <row r="65" spans="1:24" s="56" customFormat="1" ht="15.75" customHeight="1">
      <c r="A65" s="83"/>
      <c r="B65" s="58"/>
      <c r="C65" s="58"/>
      <c r="D65" s="58"/>
      <c r="E65" s="58"/>
      <c r="F65" s="58"/>
      <c r="G65" s="58"/>
      <c r="H65" s="58"/>
      <c r="I65" s="58"/>
      <c r="J65" s="58"/>
      <c r="K65" s="59"/>
      <c r="L65" s="60"/>
      <c r="M65" s="61"/>
      <c r="N65" s="58"/>
      <c r="O65" s="58"/>
      <c r="P65" s="58"/>
      <c r="Q65" s="58"/>
      <c r="R65" s="59"/>
      <c r="S65" s="62"/>
      <c r="T65" s="58"/>
      <c r="U65" s="64"/>
      <c r="V65" s="65"/>
      <c r="W65" s="65"/>
      <c r="X65" s="105" t="s">
        <v>123</v>
      </c>
    </row>
    <row r="66" spans="1:24" s="56" customFormat="1" ht="15.75" customHeight="1">
      <c r="A66" s="83"/>
      <c r="B66" s="58"/>
      <c r="C66" s="58"/>
      <c r="D66" s="58"/>
      <c r="E66" s="58"/>
      <c r="F66" s="58"/>
      <c r="G66" s="58"/>
      <c r="H66" s="58"/>
      <c r="I66" s="58"/>
      <c r="J66" s="58"/>
      <c r="K66" s="59"/>
      <c r="L66" s="60"/>
      <c r="M66" s="61"/>
      <c r="N66" s="58"/>
      <c r="O66" s="58"/>
      <c r="P66" s="58"/>
      <c r="Q66" s="58"/>
      <c r="R66" s="59"/>
      <c r="S66" s="62"/>
      <c r="T66" s="58"/>
      <c r="U66" s="64"/>
      <c r="V66" s="65"/>
      <c r="W66" s="65"/>
      <c r="X66" s="105" t="s">
        <v>123</v>
      </c>
    </row>
    <row r="67" spans="1:24" s="56" customFormat="1" ht="15.75" customHeight="1">
      <c r="A67" s="106"/>
      <c r="B67" s="107"/>
      <c r="C67" s="107"/>
      <c r="D67" s="107"/>
      <c r="E67" s="107"/>
      <c r="F67" s="107"/>
      <c r="G67" s="107"/>
      <c r="H67" s="107"/>
      <c r="I67" s="107"/>
      <c r="J67" s="107"/>
      <c r="K67" s="108"/>
      <c r="L67" s="109"/>
      <c r="M67" s="110"/>
      <c r="N67" s="107"/>
      <c r="O67" s="107"/>
      <c r="P67" s="107"/>
      <c r="Q67" s="107"/>
      <c r="R67" s="108"/>
      <c r="S67" s="111"/>
      <c r="T67" s="107"/>
      <c r="U67" s="112"/>
      <c r="V67" s="113"/>
      <c r="W67" s="113"/>
      <c r="X67" s="114"/>
    </row>
    <row r="68" spans="1:24" s="56" customFormat="1" ht="15.75" customHeight="1">
      <c r="A68" s="106"/>
      <c r="B68" s="107"/>
      <c r="C68" s="107"/>
      <c r="D68" s="107"/>
      <c r="E68" s="107"/>
      <c r="F68" s="107"/>
      <c r="G68" s="107"/>
      <c r="H68" s="107"/>
      <c r="I68" s="107"/>
      <c r="J68" s="107"/>
      <c r="K68" s="108"/>
      <c r="L68" s="109"/>
      <c r="M68" s="110"/>
      <c r="N68" s="107"/>
      <c r="O68" s="107"/>
      <c r="P68" s="107"/>
      <c r="Q68" s="107"/>
      <c r="R68" s="108"/>
      <c r="S68" s="111"/>
      <c r="T68" s="107"/>
      <c r="U68" s="112"/>
      <c r="V68" s="113"/>
      <c r="W68" s="113"/>
      <c r="X68" s="114"/>
    </row>
    <row r="69" spans="1:24" s="56" customFormat="1" ht="15.75" customHeight="1">
      <c r="A69" s="106"/>
      <c r="B69" s="107"/>
      <c r="C69" s="107"/>
      <c r="D69" s="107"/>
      <c r="E69" s="107"/>
      <c r="F69" s="107"/>
      <c r="G69" s="107"/>
      <c r="H69" s="107"/>
      <c r="I69" s="107"/>
      <c r="J69" s="107"/>
      <c r="K69" s="108"/>
      <c r="L69" s="109"/>
      <c r="M69" s="110"/>
      <c r="N69" s="107"/>
      <c r="O69" s="107"/>
      <c r="P69" s="107"/>
      <c r="Q69" s="107"/>
      <c r="R69" s="108"/>
      <c r="S69" s="111"/>
      <c r="T69" s="107"/>
      <c r="U69" s="112"/>
      <c r="V69" s="113"/>
      <c r="W69" s="113"/>
      <c r="X69" s="114"/>
    </row>
    <row r="70" spans="1:24" s="56" customFormat="1" ht="15.75" customHeight="1">
      <c r="A70" s="106"/>
      <c r="B70" s="107"/>
      <c r="C70" s="107"/>
      <c r="D70" s="107"/>
      <c r="E70" s="107"/>
      <c r="F70" s="107"/>
      <c r="G70" s="107"/>
      <c r="H70" s="107"/>
      <c r="I70" s="107"/>
      <c r="J70" s="107"/>
      <c r="K70" s="108"/>
      <c r="L70" s="109"/>
      <c r="M70" s="110"/>
      <c r="N70" s="107"/>
      <c r="O70" s="107"/>
      <c r="P70" s="107"/>
      <c r="Q70" s="107"/>
      <c r="R70" s="108"/>
      <c r="S70" s="111"/>
      <c r="T70" s="107"/>
      <c r="U70" s="112"/>
      <c r="V70" s="113"/>
      <c r="W70" s="113"/>
      <c r="X70" s="114"/>
    </row>
    <row r="71" spans="1:24" s="56" customFormat="1" ht="15.75" customHeight="1">
      <c r="A71" s="106"/>
      <c r="B71" s="107"/>
      <c r="C71" s="107"/>
      <c r="D71" s="107"/>
      <c r="E71" s="107"/>
      <c r="F71" s="107"/>
      <c r="G71" s="107"/>
      <c r="H71" s="107"/>
      <c r="I71" s="107"/>
      <c r="J71" s="107"/>
      <c r="K71" s="108"/>
      <c r="L71" s="109"/>
      <c r="M71" s="110"/>
      <c r="N71" s="107"/>
      <c r="O71" s="107"/>
      <c r="P71" s="107"/>
      <c r="Q71" s="107"/>
      <c r="R71" s="108"/>
      <c r="S71" s="111"/>
      <c r="T71" s="107"/>
      <c r="U71" s="112"/>
      <c r="V71" s="113"/>
      <c r="W71" s="113"/>
      <c r="X71" s="115"/>
    </row>
    <row r="72" spans="1:29" s="56" customFormat="1" ht="15.75" customHeight="1">
      <c r="A72" s="57" t="s">
        <v>225</v>
      </c>
      <c r="B72" s="68" t="s">
        <v>58</v>
      </c>
      <c r="C72" s="58">
        <v>4</v>
      </c>
      <c r="D72" s="58">
        <v>3</v>
      </c>
      <c r="E72" s="58">
        <v>3</v>
      </c>
      <c r="F72" s="58">
        <v>3</v>
      </c>
      <c r="G72" s="58">
        <v>4</v>
      </c>
      <c r="H72" s="58">
        <v>3</v>
      </c>
      <c r="I72" s="58">
        <v>2</v>
      </c>
      <c r="J72" s="58">
        <v>1</v>
      </c>
      <c r="K72" s="59">
        <v>8</v>
      </c>
      <c r="L72" s="60"/>
      <c r="M72" s="61"/>
      <c r="N72" s="58"/>
      <c r="O72" s="58">
        <v>1</v>
      </c>
      <c r="P72" s="88" t="s">
        <v>58</v>
      </c>
      <c r="Q72" s="88" t="s">
        <v>58</v>
      </c>
      <c r="R72" s="88" t="s">
        <v>58</v>
      </c>
      <c r="S72" s="62" t="str">
        <f>VLOOKUP(T72,RW,$Z$293,FALSE)</f>
        <v>-</v>
      </c>
      <c r="T72" s="69">
        <f>VLOOKUP(Q72,Ruestung,$Z$284,FALSE)+IF(R72=1,1,0)+VLOOKUP(A74,Mount,AO$316,FALSE)</f>
        <v>0</v>
      </c>
      <c r="U72" s="64"/>
      <c r="V72" s="99" t="s">
        <v>58</v>
      </c>
      <c r="W72" s="65">
        <f>IF(B72="-",0,B72)*(175+IF(B73=4,35,0)+IF(V72="-",0,V72))</f>
        <v>0</v>
      </c>
      <c r="X72" s="70" t="s">
        <v>42</v>
      </c>
      <c r="Z72" s="116"/>
      <c r="AA72" s="116"/>
      <c r="AB72" s="116"/>
      <c r="AC72" s="116"/>
    </row>
    <row r="73" spans="1:24" s="56" customFormat="1" ht="15.75" customHeight="1">
      <c r="A73" s="71" t="s">
        <v>36</v>
      </c>
      <c r="B73" s="68">
        <v>3</v>
      </c>
      <c r="C73" s="58"/>
      <c r="D73" s="58"/>
      <c r="E73" s="58"/>
      <c r="F73" s="58"/>
      <c r="G73" s="58"/>
      <c r="H73" s="58"/>
      <c r="I73" s="58"/>
      <c r="J73" s="58"/>
      <c r="K73" s="59"/>
      <c r="L73" s="60"/>
      <c r="M73" s="61"/>
      <c r="N73" s="58"/>
      <c r="O73" s="58"/>
      <c r="P73" s="117"/>
      <c r="Q73" s="58"/>
      <c r="R73" s="59"/>
      <c r="S73" s="118"/>
      <c r="T73" s="58"/>
      <c r="U73" s="64"/>
      <c r="V73" s="65"/>
      <c r="W73" s="65"/>
      <c r="X73" s="75" t="s">
        <v>6</v>
      </c>
    </row>
    <row r="74" spans="1:24" s="56" customFormat="1" ht="15.75" customHeight="1">
      <c r="A74" s="83" t="s">
        <v>200</v>
      </c>
      <c r="B74" s="68">
        <v>1</v>
      </c>
      <c r="C74" s="58" t="str">
        <f>VLOOKUP(A74,Mount,Z$316,FALSE)</f>
        <v>-</v>
      </c>
      <c r="D74" s="58" t="str">
        <f>VLOOKUP(A74,Mount,AA$316,FALSE)</f>
        <v>-</v>
      </c>
      <c r="E74" s="58" t="str">
        <f>VLOOKUP(A74,Mount,AB$316,FALSE)</f>
        <v>-</v>
      </c>
      <c r="F74" s="58" t="str">
        <f>VLOOKUP(A74,Mount,AC$316,FALSE)</f>
        <v>-</v>
      </c>
      <c r="G74" s="58" t="str">
        <f>VLOOKUP(A74,Mount,AD$316,FALSE)</f>
        <v>-</v>
      </c>
      <c r="H74" s="58" t="str">
        <f>VLOOKUP(A74,Mount,AE$316,FALSE)</f>
        <v>-</v>
      </c>
      <c r="I74" s="58" t="str">
        <f>VLOOKUP(A74,Mount,AF$316,FALSE)</f>
        <v>-</v>
      </c>
      <c r="J74" s="58" t="str">
        <f>VLOOKUP(A74,Mount,AG$316,FALSE)</f>
        <v>-</v>
      </c>
      <c r="K74" s="58" t="str">
        <f>VLOOKUP(A74,Mount,AH$316,FALSE)</f>
        <v>-</v>
      </c>
      <c r="L74" s="60"/>
      <c r="M74" s="61"/>
      <c r="N74" s="58"/>
      <c r="O74" s="58"/>
      <c r="P74" s="58"/>
      <c r="Q74" s="58"/>
      <c r="R74" s="59"/>
      <c r="S74" s="62" t="str">
        <f>VLOOKUP(A74,Mount,AI$316,FALSE)</f>
        <v>-</v>
      </c>
      <c r="T74" s="69"/>
      <c r="U74" s="64"/>
      <c r="V74" s="65"/>
      <c r="W74" s="65">
        <f>IF(B74="-",0,B74)*(VLOOKUP($A74,Mount,AJ$316,FALSE))</f>
        <v>0</v>
      </c>
      <c r="X74" s="86" t="str">
        <f>VLOOKUP($A74,Mount,AK$316,FALSE)</f>
        <v>-</v>
      </c>
    </row>
    <row r="75" spans="1:24" s="56" customFormat="1" ht="15.75" customHeight="1">
      <c r="A75" s="119"/>
      <c r="B75" s="120"/>
      <c r="C75" s="120"/>
      <c r="D75" s="120"/>
      <c r="E75" s="120"/>
      <c r="F75" s="120"/>
      <c r="G75" s="120"/>
      <c r="H75" s="120"/>
      <c r="I75" s="120"/>
      <c r="J75" s="120"/>
      <c r="K75" s="121"/>
      <c r="L75" s="122"/>
      <c r="M75" s="123"/>
      <c r="N75" s="120"/>
      <c r="O75" s="120"/>
      <c r="P75" s="120"/>
      <c r="Q75" s="120"/>
      <c r="R75" s="121"/>
      <c r="S75" s="62"/>
      <c r="T75" s="120"/>
      <c r="U75" s="124"/>
      <c r="V75" s="125"/>
      <c r="W75" s="125"/>
      <c r="X75" s="105"/>
    </row>
    <row r="76" spans="1:24" s="56" customFormat="1" ht="15.75" customHeight="1">
      <c r="A76" s="126"/>
      <c r="B76" s="127"/>
      <c r="C76" s="120"/>
      <c r="D76" s="120"/>
      <c r="E76" s="120"/>
      <c r="F76" s="120"/>
      <c r="G76" s="120"/>
      <c r="H76" s="120"/>
      <c r="I76" s="120"/>
      <c r="J76" s="120"/>
      <c r="K76" s="121"/>
      <c r="L76" s="122"/>
      <c r="M76" s="123"/>
      <c r="N76" s="120"/>
      <c r="O76" s="120"/>
      <c r="P76" s="128"/>
      <c r="Q76" s="120"/>
      <c r="R76" s="121"/>
      <c r="S76" s="62"/>
      <c r="T76" s="120"/>
      <c r="U76" s="124"/>
      <c r="V76" s="125"/>
      <c r="W76" s="125"/>
      <c r="X76" s="70"/>
    </row>
    <row r="77" spans="1:26" s="56" customFormat="1" ht="24.75" customHeight="1">
      <c r="A77" s="129" t="s">
        <v>231</v>
      </c>
      <c r="B77" s="130" t="s">
        <v>265</v>
      </c>
      <c r="C77" s="131" t="s">
        <v>261</v>
      </c>
      <c r="D77" s="131" t="s">
        <v>139</v>
      </c>
      <c r="E77" s="131" t="s">
        <v>140</v>
      </c>
      <c r="F77" s="131" t="s">
        <v>38</v>
      </c>
      <c r="G77" s="131" t="s">
        <v>262</v>
      </c>
      <c r="H77" s="131" t="s">
        <v>141</v>
      </c>
      <c r="I77" s="131" t="s">
        <v>280</v>
      </c>
      <c r="J77" s="131" t="s">
        <v>281</v>
      </c>
      <c r="K77" s="131" t="s">
        <v>282</v>
      </c>
      <c r="L77" s="132"/>
      <c r="M77" s="131" t="s">
        <v>237</v>
      </c>
      <c r="N77" s="131" t="s">
        <v>238</v>
      </c>
      <c r="O77" s="131" t="s">
        <v>63</v>
      </c>
      <c r="P77" s="131" t="s">
        <v>135</v>
      </c>
      <c r="Q77" s="131" t="s">
        <v>136</v>
      </c>
      <c r="R77" s="131" t="s">
        <v>138</v>
      </c>
      <c r="S77" s="133" t="s">
        <v>149</v>
      </c>
      <c r="T77" s="134" t="s">
        <v>229</v>
      </c>
      <c r="U77" s="135" t="s">
        <v>137</v>
      </c>
      <c r="V77" s="30" t="s">
        <v>199</v>
      </c>
      <c r="W77" s="136" t="s">
        <v>289</v>
      </c>
      <c r="X77" s="135" t="s">
        <v>230</v>
      </c>
      <c r="Y77" s="54" t="s">
        <v>128</v>
      </c>
      <c r="Z77" s="55">
        <f>SUM(W78:W142)</f>
        <v>0</v>
      </c>
    </row>
    <row r="78" spans="1:24" s="92" customFormat="1" ht="15.75" customHeight="1">
      <c r="A78" s="57"/>
      <c r="B78" s="58"/>
      <c r="C78" s="58"/>
      <c r="D78" s="58"/>
      <c r="E78" s="58"/>
      <c r="F78" s="58"/>
      <c r="G78" s="58"/>
      <c r="H78" s="58"/>
      <c r="I78" s="58"/>
      <c r="J78" s="58"/>
      <c r="K78" s="59"/>
      <c r="L78" s="60"/>
      <c r="M78" s="61"/>
      <c r="N78" s="58"/>
      <c r="O78" s="58"/>
      <c r="P78" s="58"/>
      <c r="Q78" s="58"/>
      <c r="R78" s="59"/>
      <c r="S78" s="93"/>
      <c r="T78" s="94"/>
      <c r="U78" s="64"/>
      <c r="V78" s="65"/>
      <c r="W78" s="65"/>
      <c r="X78" s="77"/>
    </row>
    <row r="79" spans="1:24" s="92" customFormat="1" ht="15.75" customHeight="1">
      <c r="A79" s="67" t="s">
        <v>251</v>
      </c>
      <c r="B79" s="68" t="s">
        <v>58</v>
      </c>
      <c r="C79" s="58">
        <v>4</v>
      </c>
      <c r="D79" s="58">
        <v>5</v>
      </c>
      <c r="E79" s="58">
        <v>3</v>
      </c>
      <c r="F79" s="78" t="s">
        <v>153</v>
      </c>
      <c r="G79" s="58">
        <v>4</v>
      </c>
      <c r="H79" s="58">
        <v>2</v>
      </c>
      <c r="I79" s="58">
        <v>3</v>
      </c>
      <c r="J79" s="58">
        <v>3</v>
      </c>
      <c r="K79" s="59">
        <v>8</v>
      </c>
      <c r="L79" s="98"/>
      <c r="M79" s="61"/>
      <c r="N79" s="58"/>
      <c r="O79" s="58">
        <v>1</v>
      </c>
      <c r="P79" s="58" t="s">
        <v>58</v>
      </c>
      <c r="Q79" s="58" t="s">
        <v>204</v>
      </c>
      <c r="R79" s="58" t="s">
        <v>58</v>
      </c>
      <c r="S79" s="62" t="str">
        <f>VLOOKUP(T79,RW,$Z$293,FALSE)</f>
        <v>6+</v>
      </c>
      <c r="T79" s="69">
        <f>VLOOKUP(Q79,Ruestung,$Z$284,FALSE)+IF(R79=1,1,0)+VLOOKUP(A88,Mount,AO$316,FALSE)</f>
        <v>1</v>
      </c>
      <c r="U79" s="64" t="s">
        <v>207</v>
      </c>
      <c r="V79" s="65"/>
      <c r="W79" s="65">
        <f>IF(B79="-",0,B79)*(120)</f>
        <v>0</v>
      </c>
      <c r="X79" s="137" t="s">
        <v>43</v>
      </c>
    </row>
    <row r="80" spans="1:24" s="92" customFormat="1" ht="15.75" customHeight="1">
      <c r="A80" s="71" t="s">
        <v>306</v>
      </c>
      <c r="B80" s="58"/>
      <c r="C80" s="58"/>
      <c r="D80" s="58"/>
      <c r="E80" s="58"/>
      <c r="F80" s="58"/>
      <c r="G80" s="58"/>
      <c r="H80" s="58"/>
      <c r="I80" s="58"/>
      <c r="J80" s="58"/>
      <c r="K80" s="59"/>
      <c r="L80" s="98"/>
      <c r="M80" s="61"/>
      <c r="N80" s="58"/>
      <c r="O80" s="58"/>
      <c r="P80" s="100"/>
      <c r="Q80" s="58"/>
      <c r="R80" s="101"/>
      <c r="S80" s="62"/>
      <c r="T80" s="73"/>
      <c r="U80" s="64"/>
      <c r="V80" s="65"/>
      <c r="W80" s="65"/>
      <c r="X80" s="138" t="s">
        <v>156</v>
      </c>
    </row>
    <row r="81" spans="1:24" s="92" customFormat="1" ht="15.75" customHeight="1">
      <c r="A81" s="71"/>
      <c r="B81" s="58"/>
      <c r="C81" s="58"/>
      <c r="D81" s="58"/>
      <c r="E81" s="58"/>
      <c r="F81" s="58"/>
      <c r="G81" s="58"/>
      <c r="H81" s="58"/>
      <c r="I81" s="58"/>
      <c r="J81" s="58"/>
      <c r="K81" s="59"/>
      <c r="L81" s="98"/>
      <c r="M81" s="61"/>
      <c r="N81" s="58"/>
      <c r="O81" s="58"/>
      <c r="P81" s="100"/>
      <c r="Q81" s="58"/>
      <c r="R81" s="101"/>
      <c r="S81" s="62"/>
      <c r="T81" s="73"/>
      <c r="U81" s="64"/>
      <c r="V81" s="65"/>
      <c r="W81" s="65"/>
      <c r="X81" s="138" t="s">
        <v>157</v>
      </c>
    </row>
    <row r="82" spans="1:24" s="92" customFormat="1" ht="15.75" customHeight="1">
      <c r="A82" s="71"/>
      <c r="B82" s="58"/>
      <c r="C82" s="58"/>
      <c r="D82" s="58"/>
      <c r="E82" s="58"/>
      <c r="F82" s="58"/>
      <c r="G82" s="58"/>
      <c r="H82" s="58"/>
      <c r="I82" s="58"/>
      <c r="J82" s="58"/>
      <c r="K82" s="59"/>
      <c r="L82" s="98"/>
      <c r="M82" s="61"/>
      <c r="N82" s="58"/>
      <c r="O82" s="58"/>
      <c r="P82" s="100"/>
      <c r="Q82" s="58"/>
      <c r="R82" s="101"/>
      <c r="S82" s="62"/>
      <c r="T82" s="73"/>
      <c r="U82" s="64"/>
      <c r="V82" s="65"/>
      <c r="W82" s="65"/>
      <c r="X82" s="138" t="s">
        <v>158</v>
      </c>
    </row>
    <row r="83" spans="1:24" s="92" customFormat="1" ht="15.75" customHeight="1">
      <c r="A83" s="71"/>
      <c r="B83" s="58"/>
      <c r="C83" s="58"/>
      <c r="D83" s="58"/>
      <c r="E83" s="58"/>
      <c r="F83" s="58"/>
      <c r="G83" s="58"/>
      <c r="H83" s="58"/>
      <c r="I83" s="58"/>
      <c r="J83" s="58"/>
      <c r="K83" s="59"/>
      <c r="L83" s="98"/>
      <c r="M83" s="61"/>
      <c r="N83" s="58"/>
      <c r="O83" s="58"/>
      <c r="P83" s="100"/>
      <c r="Q83" s="58"/>
      <c r="R83" s="101"/>
      <c r="S83" s="62"/>
      <c r="T83" s="73"/>
      <c r="U83" s="64"/>
      <c r="V83" s="65"/>
      <c r="W83" s="65"/>
      <c r="X83" s="139" t="s">
        <v>1</v>
      </c>
    </row>
    <row r="84" spans="1:24" s="92" customFormat="1" ht="15.75" customHeight="1">
      <c r="A84" s="71"/>
      <c r="B84" s="58"/>
      <c r="C84" s="58"/>
      <c r="D84" s="58"/>
      <c r="E84" s="58"/>
      <c r="F84" s="58"/>
      <c r="G84" s="58"/>
      <c r="H84" s="58"/>
      <c r="I84" s="58"/>
      <c r="J84" s="58"/>
      <c r="K84" s="59"/>
      <c r="L84" s="60"/>
      <c r="M84" s="61"/>
      <c r="N84" s="58"/>
      <c r="O84" s="58"/>
      <c r="P84" s="58"/>
      <c r="Q84" s="58"/>
      <c r="R84" s="59"/>
      <c r="S84" s="93"/>
      <c r="T84" s="94"/>
      <c r="U84" s="64"/>
      <c r="V84" s="65"/>
      <c r="W84" s="65"/>
      <c r="X84" s="139" t="s">
        <v>2</v>
      </c>
    </row>
    <row r="85" spans="1:24" s="92" customFormat="1" ht="15.75" customHeight="1">
      <c r="A85" s="67"/>
      <c r="B85" s="58"/>
      <c r="C85" s="58"/>
      <c r="D85" s="58"/>
      <c r="E85" s="58"/>
      <c r="F85" s="58"/>
      <c r="G85" s="58"/>
      <c r="H85" s="58"/>
      <c r="I85" s="58"/>
      <c r="J85" s="58"/>
      <c r="K85" s="59"/>
      <c r="L85" s="60"/>
      <c r="M85" s="61"/>
      <c r="N85" s="58"/>
      <c r="O85" s="58"/>
      <c r="P85" s="58"/>
      <c r="Q85" s="58"/>
      <c r="R85" s="59"/>
      <c r="S85" s="93"/>
      <c r="T85" s="94"/>
      <c r="U85" s="64"/>
      <c r="V85" s="65"/>
      <c r="W85" s="65"/>
      <c r="X85" s="80" t="s">
        <v>3</v>
      </c>
    </row>
    <row r="86" spans="1:24" s="92" customFormat="1" ht="15.75" customHeight="1">
      <c r="A86" s="67"/>
      <c r="B86" s="58"/>
      <c r="C86" s="58"/>
      <c r="D86" s="58"/>
      <c r="E86" s="58"/>
      <c r="F86" s="58"/>
      <c r="G86" s="58"/>
      <c r="H86" s="58"/>
      <c r="I86" s="58"/>
      <c r="J86" s="58"/>
      <c r="K86" s="59"/>
      <c r="L86" s="60"/>
      <c r="M86" s="61"/>
      <c r="N86" s="58"/>
      <c r="O86" s="58"/>
      <c r="P86" s="58"/>
      <c r="Q86" s="58"/>
      <c r="R86" s="59"/>
      <c r="S86" s="93"/>
      <c r="T86" s="94"/>
      <c r="U86" s="64"/>
      <c r="V86" s="65"/>
      <c r="W86" s="65"/>
      <c r="X86" s="139" t="s">
        <v>4</v>
      </c>
    </row>
    <row r="87" spans="1:24" s="92" customFormat="1" ht="15.75" customHeight="1">
      <c r="A87" s="67"/>
      <c r="B87" s="58"/>
      <c r="C87" s="58"/>
      <c r="D87" s="58"/>
      <c r="E87" s="58"/>
      <c r="F87" s="58"/>
      <c r="G87" s="58"/>
      <c r="H87" s="58"/>
      <c r="I87" s="58"/>
      <c r="J87" s="58"/>
      <c r="K87" s="59"/>
      <c r="L87" s="60"/>
      <c r="M87" s="61"/>
      <c r="N87" s="58"/>
      <c r="O87" s="58"/>
      <c r="P87" s="58"/>
      <c r="Q87" s="58"/>
      <c r="R87" s="59"/>
      <c r="S87" s="93"/>
      <c r="T87" s="94"/>
      <c r="U87" s="64"/>
      <c r="V87" s="65"/>
      <c r="W87" s="65"/>
      <c r="X87" s="80" t="s">
        <v>5</v>
      </c>
    </row>
    <row r="88" spans="1:24" s="92" customFormat="1" ht="15.75" customHeight="1">
      <c r="A88" s="67" t="s">
        <v>200</v>
      </c>
      <c r="B88" s="68">
        <v>1</v>
      </c>
      <c r="C88" s="58" t="str">
        <f>VLOOKUP(A88,Mount,Z$316,FALSE)</f>
        <v>-</v>
      </c>
      <c r="D88" s="58" t="str">
        <f>VLOOKUP(A88,Mount,AA$316,FALSE)</f>
        <v>-</v>
      </c>
      <c r="E88" s="58" t="str">
        <f>VLOOKUP(A88,Mount,AB$316,FALSE)</f>
        <v>-</v>
      </c>
      <c r="F88" s="58" t="str">
        <f>VLOOKUP(A88,Mount,AC$316,FALSE)</f>
        <v>-</v>
      </c>
      <c r="G88" s="58" t="str">
        <f>VLOOKUP(A88,Mount,AD$316,FALSE)</f>
        <v>-</v>
      </c>
      <c r="H88" s="58" t="str">
        <f>VLOOKUP(A88,Mount,AE$316,FALSE)</f>
        <v>-</v>
      </c>
      <c r="I88" s="58" t="str">
        <f>VLOOKUP(A88,Mount,AF$316,FALSE)</f>
        <v>-</v>
      </c>
      <c r="J88" s="58" t="str">
        <f>VLOOKUP(A88,Mount,AG$316,FALSE)</f>
        <v>-</v>
      </c>
      <c r="K88" s="58" t="str">
        <f>VLOOKUP(A88,Mount,AH$316,FALSE)</f>
        <v>-</v>
      </c>
      <c r="L88" s="60"/>
      <c r="M88" s="61"/>
      <c r="N88" s="58"/>
      <c r="O88" s="58"/>
      <c r="P88" s="58"/>
      <c r="Q88" s="58"/>
      <c r="R88" s="59"/>
      <c r="S88" s="62" t="str">
        <f>VLOOKUP(A88,Mount,AI$316,FALSE)</f>
        <v>-</v>
      </c>
      <c r="T88" s="69"/>
      <c r="U88" s="64"/>
      <c r="V88" s="65"/>
      <c r="W88" s="65">
        <f>IF(B88="-",0,B88)*(VLOOKUP($A88,Mount,AM$316,FALSE))</f>
        <v>0</v>
      </c>
      <c r="X88" s="86" t="str">
        <f>VLOOKUP($A88,Mount,AK$316,FALSE)</f>
        <v>-</v>
      </c>
    </row>
    <row r="89" spans="1:24" s="92" customFormat="1" ht="15.75" customHeight="1">
      <c r="A89" s="67" t="str">
        <f>IF(A88="Skelettstreitwagen","Skelettpferd","-")</f>
        <v>-</v>
      </c>
      <c r="B89" s="58" t="str">
        <f>IF(A88="Skelettstreitwagen",B88*2,"-")</f>
        <v>-</v>
      </c>
      <c r="C89" s="58" t="str">
        <f>IF(A88="Skelettstreitwagen",8,"-")</f>
        <v>-</v>
      </c>
      <c r="D89" s="58" t="str">
        <f>IF(A88="Skelettstreitwagen",2,"-")</f>
        <v>-</v>
      </c>
      <c r="E89" s="58" t="s">
        <v>58</v>
      </c>
      <c r="F89" s="58" t="str">
        <f>IF(A88="Skelettstreitwagen",3,"-")</f>
        <v>-</v>
      </c>
      <c r="G89" s="58" t="s">
        <v>58</v>
      </c>
      <c r="H89" s="58" t="s">
        <v>58</v>
      </c>
      <c r="I89" s="58" t="str">
        <f>IF(A88="Skelettstreitwagen",2,"-")</f>
        <v>-</v>
      </c>
      <c r="J89" s="58" t="str">
        <f>IF(A88="Skelettstreitwagen",1,"-")</f>
        <v>-</v>
      </c>
      <c r="K89" s="59" t="s">
        <v>58</v>
      </c>
      <c r="L89" s="60"/>
      <c r="M89" s="61"/>
      <c r="N89" s="58"/>
      <c r="O89" s="58"/>
      <c r="P89" s="58"/>
      <c r="Q89" s="58"/>
      <c r="R89" s="59"/>
      <c r="S89" s="62"/>
      <c r="T89" s="58"/>
      <c r="U89" s="64"/>
      <c r="V89" s="65"/>
      <c r="W89" s="65"/>
      <c r="X89" s="86" t="str">
        <f>VLOOKUP($A88,Mount,AL$316,FALSE)</f>
        <v>-</v>
      </c>
    </row>
    <row r="90" spans="1:24" s="92" customFormat="1" ht="15.75" customHeight="1">
      <c r="A90" s="67"/>
      <c r="B90" s="58"/>
      <c r="C90" s="58"/>
      <c r="D90" s="58"/>
      <c r="E90" s="58"/>
      <c r="F90" s="58"/>
      <c r="G90" s="58"/>
      <c r="H90" s="58"/>
      <c r="I90" s="58"/>
      <c r="J90" s="58"/>
      <c r="K90" s="59"/>
      <c r="L90" s="60"/>
      <c r="M90" s="61"/>
      <c r="N90" s="58"/>
      <c r="O90" s="58"/>
      <c r="P90" s="58"/>
      <c r="Q90" s="58"/>
      <c r="R90" s="59"/>
      <c r="S90" s="93"/>
      <c r="T90" s="94"/>
      <c r="U90" s="64"/>
      <c r="V90" s="65"/>
      <c r="W90" s="65"/>
      <c r="X90" s="77"/>
    </row>
    <row r="91" spans="1:24" s="97" customFormat="1" ht="15.75" customHeight="1">
      <c r="A91" s="67"/>
      <c r="B91" s="58"/>
      <c r="C91" s="58"/>
      <c r="D91" s="58"/>
      <c r="E91" s="58"/>
      <c r="F91" s="58"/>
      <c r="G91" s="58"/>
      <c r="H91" s="58"/>
      <c r="I91" s="58"/>
      <c r="J91" s="58"/>
      <c r="K91" s="59"/>
      <c r="L91" s="60"/>
      <c r="M91" s="61"/>
      <c r="N91" s="58"/>
      <c r="O91" s="58"/>
      <c r="P91" s="58"/>
      <c r="Q91" s="58"/>
      <c r="R91" s="59"/>
      <c r="S91" s="93"/>
      <c r="T91" s="94"/>
      <c r="U91" s="64"/>
      <c r="V91" s="65"/>
      <c r="W91" s="65"/>
      <c r="X91" s="140"/>
    </row>
    <row r="92" spans="1:24" s="97" customFormat="1" ht="15.75" customHeight="1">
      <c r="A92" s="67" t="s">
        <v>101</v>
      </c>
      <c r="B92" s="68" t="s">
        <v>58</v>
      </c>
      <c r="C92" s="58">
        <v>4</v>
      </c>
      <c r="D92" s="58">
        <v>4</v>
      </c>
      <c r="E92" s="58">
        <v>3</v>
      </c>
      <c r="F92" s="58">
        <v>4</v>
      </c>
      <c r="G92" s="58">
        <v>3</v>
      </c>
      <c r="H92" s="58">
        <v>4</v>
      </c>
      <c r="I92" s="58">
        <v>1</v>
      </c>
      <c r="J92" s="58">
        <v>5</v>
      </c>
      <c r="K92" s="59">
        <v>8</v>
      </c>
      <c r="L92" s="60"/>
      <c r="M92" s="61"/>
      <c r="N92" s="58"/>
      <c r="O92" s="58">
        <v>1</v>
      </c>
      <c r="P92" s="58" t="s">
        <v>58</v>
      </c>
      <c r="Q92" s="58" t="s">
        <v>204</v>
      </c>
      <c r="R92" s="58" t="s">
        <v>58</v>
      </c>
      <c r="S92" s="62" t="str">
        <f>VLOOKUP(T92,RW,$Z$293,FALSE)</f>
        <v>6+</v>
      </c>
      <c r="T92" s="69">
        <f>VLOOKUP(Q92,Ruestung,$Z$284,FALSE)+IF(R92=1,1,0)</f>
        <v>1</v>
      </c>
      <c r="U92" s="64"/>
      <c r="V92" s="65"/>
      <c r="W92" s="65">
        <f>130*IF(B92="-",0,B92)</f>
        <v>0</v>
      </c>
      <c r="X92" s="137" t="s">
        <v>20</v>
      </c>
    </row>
    <row r="93" spans="1:24" s="97" customFormat="1" ht="15.75" customHeight="1">
      <c r="A93" s="71" t="s">
        <v>226</v>
      </c>
      <c r="B93" s="58"/>
      <c r="C93" s="58"/>
      <c r="D93" s="58"/>
      <c r="E93" s="58"/>
      <c r="F93" s="58"/>
      <c r="G93" s="58"/>
      <c r="H93" s="58"/>
      <c r="I93" s="58"/>
      <c r="J93" s="58"/>
      <c r="K93" s="59"/>
      <c r="L93" s="60"/>
      <c r="M93" s="61"/>
      <c r="N93" s="58"/>
      <c r="O93" s="58"/>
      <c r="P93" s="58"/>
      <c r="Q93" s="58"/>
      <c r="R93" s="59"/>
      <c r="S93" s="93"/>
      <c r="T93" s="94"/>
      <c r="U93" s="64"/>
      <c r="V93" s="65"/>
      <c r="W93" s="65"/>
      <c r="X93" s="141" t="s">
        <v>21</v>
      </c>
    </row>
    <row r="94" spans="1:24" s="97" customFormat="1" ht="15.75" customHeight="1">
      <c r="A94" s="71"/>
      <c r="B94" s="58"/>
      <c r="C94" s="58"/>
      <c r="D94" s="58"/>
      <c r="E94" s="58"/>
      <c r="F94" s="58"/>
      <c r="G94" s="58"/>
      <c r="H94" s="58"/>
      <c r="I94" s="58"/>
      <c r="J94" s="58"/>
      <c r="K94" s="59"/>
      <c r="L94" s="60"/>
      <c r="M94" s="61"/>
      <c r="N94" s="58"/>
      <c r="O94" s="58"/>
      <c r="P94" s="58"/>
      <c r="Q94" s="58"/>
      <c r="R94" s="59"/>
      <c r="S94" s="93"/>
      <c r="T94" s="94"/>
      <c r="U94" s="64"/>
      <c r="V94" s="65"/>
      <c r="W94" s="65"/>
      <c r="X94" s="85" t="s">
        <v>23</v>
      </c>
    </row>
    <row r="95" spans="1:24" s="97" customFormat="1" ht="15.75" customHeight="1">
      <c r="A95" s="71"/>
      <c r="B95" s="58"/>
      <c r="C95" s="58"/>
      <c r="D95" s="58"/>
      <c r="E95" s="58"/>
      <c r="F95" s="58"/>
      <c r="G95" s="58"/>
      <c r="H95" s="58"/>
      <c r="I95" s="58"/>
      <c r="J95" s="58"/>
      <c r="K95" s="59"/>
      <c r="L95" s="60"/>
      <c r="M95" s="61"/>
      <c r="N95" s="58"/>
      <c r="O95" s="58"/>
      <c r="P95" s="58"/>
      <c r="Q95" s="58"/>
      <c r="R95" s="59"/>
      <c r="S95" s="93"/>
      <c r="T95" s="94"/>
      <c r="U95" s="64"/>
      <c r="V95" s="65"/>
      <c r="W95" s="65"/>
      <c r="X95" s="142" t="s">
        <v>24</v>
      </c>
    </row>
    <row r="96" spans="1:24" s="97" customFormat="1" ht="15.75" customHeight="1">
      <c r="A96" s="71"/>
      <c r="B96" s="100"/>
      <c r="C96" s="58"/>
      <c r="D96" s="58"/>
      <c r="E96" s="58"/>
      <c r="F96" s="58"/>
      <c r="G96" s="58"/>
      <c r="H96" s="58"/>
      <c r="I96" s="58"/>
      <c r="J96" s="58"/>
      <c r="K96" s="59"/>
      <c r="L96" s="98"/>
      <c r="M96" s="61"/>
      <c r="N96" s="58"/>
      <c r="O96" s="58"/>
      <c r="P96" s="58"/>
      <c r="Q96" s="58"/>
      <c r="R96" s="59"/>
      <c r="S96" s="93"/>
      <c r="T96" s="103"/>
      <c r="U96" s="64"/>
      <c r="V96" s="65"/>
      <c r="W96" s="65"/>
      <c r="X96" s="137" t="s">
        <v>75</v>
      </c>
    </row>
    <row r="97" spans="1:24" s="97" customFormat="1" ht="15.75" customHeight="1">
      <c r="A97" s="67"/>
      <c r="B97" s="100"/>
      <c r="C97" s="58"/>
      <c r="D97" s="58"/>
      <c r="E97" s="58"/>
      <c r="F97" s="58"/>
      <c r="G97" s="58"/>
      <c r="H97" s="58"/>
      <c r="I97" s="58"/>
      <c r="J97" s="58"/>
      <c r="K97" s="59"/>
      <c r="L97" s="98"/>
      <c r="M97" s="61"/>
      <c r="N97" s="58"/>
      <c r="O97" s="58"/>
      <c r="P97" s="58"/>
      <c r="Q97" s="58"/>
      <c r="R97" s="59"/>
      <c r="S97" s="93"/>
      <c r="T97" s="103"/>
      <c r="U97" s="64"/>
      <c r="V97" s="65"/>
      <c r="W97" s="65"/>
      <c r="X97" s="143" t="s">
        <v>0</v>
      </c>
    </row>
    <row r="98" spans="1:24" s="97" customFormat="1" ht="15.75" customHeight="1">
      <c r="A98" s="67"/>
      <c r="B98" s="100"/>
      <c r="C98" s="58"/>
      <c r="D98" s="58"/>
      <c r="E98" s="58"/>
      <c r="F98" s="58"/>
      <c r="G98" s="58"/>
      <c r="H98" s="58"/>
      <c r="I98" s="58"/>
      <c r="J98" s="58"/>
      <c r="K98" s="59"/>
      <c r="L98" s="98"/>
      <c r="M98" s="61"/>
      <c r="N98" s="58"/>
      <c r="O98" s="58"/>
      <c r="P98" s="58"/>
      <c r="Q98" s="58"/>
      <c r="R98" s="59"/>
      <c r="S98" s="93"/>
      <c r="T98" s="103"/>
      <c r="U98" s="64"/>
      <c r="V98" s="65"/>
      <c r="W98" s="65"/>
      <c r="X98" s="143" t="s">
        <v>73</v>
      </c>
    </row>
    <row r="99" spans="1:24" s="97" customFormat="1" ht="15.75" customHeight="1">
      <c r="A99" s="67"/>
      <c r="B99" s="100"/>
      <c r="C99" s="58"/>
      <c r="D99" s="58"/>
      <c r="E99" s="58"/>
      <c r="F99" s="58"/>
      <c r="G99" s="58"/>
      <c r="H99" s="58"/>
      <c r="I99" s="58"/>
      <c r="J99" s="58"/>
      <c r="K99" s="59"/>
      <c r="L99" s="98"/>
      <c r="M99" s="61"/>
      <c r="N99" s="58"/>
      <c r="O99" s="58"/>
      <c r="P99" s="58"/>
      <c r="Q99" s="58"/>
      <c r="R99" s="59"/>
      <c r="S99" s="93"/>
      <c r="T99" s="103"/>
      <c r="U99" s="64"/>
      <c r="V99" s="65"/>
      <c r="W99" s="65"/>
      <c r="X99" s="140" t="s">
        <v>74</v>
      </c>
    </row>
    <row r="100" spans="1:24" s="97" customFormat="1" ht="15.75" customHeight="1">
      <c r="A100" s="67"/>
      <c r="B100" s="100"/>
      <c r="C100" s="58"/>
      <c r="D100" s="58"/>
      <c r="E100" s="58"/>
      <c r="F100" s="58"/>
      <c r="G100" s="58"/>
      <c r="H100" s="58"/>
      <c r="I100" s="58"/>
      <c r="J100" s="58"/>
      <c r="K100" s="59"/>
      <c r="L100" s="98"/>
      <c r="M100" s="61"/>
      <c r="N100" s="58"/>
      <c r="O100" s="58"/>
      <c r="P100" s="58"/>
      <c r="Q100" s="58"/>
      <c r="R100" s="59"/>
      <c r="S100" s="93"/>
      <c r="T100" s="103"/>
      <c r="U100" s="64"/>
      <c r="V100" s="65"/>
      <c r="W100" s="65"/>
      <c r="X100" s="140"/>
    </row>
    <row r="101" spans="1:24" s="97" customFormat="1" ht="15.75" customHeight="1">
      <c r="A101" s="67"/>
      <c r="B101" s="100"/>
      <c r="C101" s="58"/>
      <c r="D101" s="58"/>
      <c r="E101" s="58"/>
      <c r="F101" s="58"/>
      <c r="G101" s="58"/>
      <c r="H101" s="58"/>
      <c r="I101" s="58"/>
      <c r="J101" s="58"/>
      <c r="K101" s="59"/>
      <c r="L101" s="98"/>
      <c r="M101" s="61"/>
      <c r="N101" s="58"/>
      <c r="O101" s="58"/>
      <c r="P101" s="58"/>
      <c r="Q101" s="58"/>
      <c r="R101" s="59"/>
      <c r="S101" s="93"/>
      <c r="T101" s="103"/>
      <c r="U101" s="64"/>
      <c r="V101" s="65"/>
      <c r="W101" s="65"/>
      <c r="X101" s="144"/>
    </row>
    <row r="102" spans="1:24" s="92" customFormat="1" ht="15.75" customHeight="1">
      <c r="A102" s="67" t="s">
        <v>102</v>
      </c>
      <c r="B102" s="68" t="s">
        <v>58</v>
      </c>
      <c r="C102" s="58">
        <v>4</v>
      </c>
      <c r="D102" s="58">
        <v>3</v>
      </c>
      <c r="E102" s="58">
        <v>3</v>
      </c>
      <c r="F102" s="58">
        <v>4</v>
      </c>
      <c r="G102" s="58">
        <v>4</v>
      </c>
      <c r="H102" s="58">
        <v>2</v>
      </c>
      <c r="I102" s="58">
        <v>3</v>
      </c>
      <c r="J102" s="78" t="s">
        <v>99</v>
      </c>
      <c r="K102" s="59">
        <v>7</v>
      </c>
      <c r="L102" s="98"/>
      <c r="M102" s="61"/>
      <c r="N102" s="58"/>
      <c r="O102" s="58">
        <v>2</v>
      </c>
      <c r="P102" s="88" t="s">
        <v>58</v>
      </c>
      <c r="Q102" s="58" t="s">
        <v>204</v>
      </c>
      <c r="R102" s="88" t="s">
        <v>58</v>
      </c>
      <c r="S102" s="62" t="str">
        <f>VLOOKUP(T102,RW,$Z$293,FALSE)</f>
        <v>6+</v>
      </c>
      <c r="T102" s="69">
        <f>VLOOKUP(Q102,Ruestung,$Z$284,FALSE)+IF(R102=1,1,0)</f>
        <v>1</v>
      </c>
      <c r="U102" s="64"/>
      <c r="V102" s="65"/>
      <c r="W102" s="65">
        <f>IF(B102="-",0,B102)*(110)</f>
        <v>0</v>
      </c>
      <c r="X102" s="137" t="s">
        <v>39</v>
      </c>
    </row>
    <row r="103" spans="1:24" s="92" customFormat="1" ht="15.75" customHeight="1">
      <c r="A103" s="71" t="s">
        <v>227</v>
      </c>
      <c r="B103" s="58"/>
      <c r="C103" s="58"/>
      <c r="D103" s="58"/>
      <c r="E103" s="58"/>
      <c r="F103" s="58"/>
      <c r="G103" s="58"/>
      <c r="H103" s="58"/>
      <c r="I103" s="58"/>
      <c r="J103" s="58"/>
      <c r="K103" s="59"/>
      <c r="L103" s="98"/>
      <c r="M103" s="61"/>
      <c r="N103" s="58"/>
      <c r="O103" s="58"/>
      <c r="P103" s="100"/>
      <c r="Q103" s="100"/>
      <c r="R103" s="101"/>
      <c r="S103" s="62"/>
      <c r="T103" s="102"/>
      <c r="U103" s="64"/>
      <c r="V103" s="65"/>
      <c r="W103" s="65"/>
      <c r="X103" s="145" t="s">
        <v>40</v>
      </c>
    </row>
    <row r="104" spans="1:24" s="92" customFormat="1" ht="15.75" customHeight="1">
      <c r="A104" s="71"/>
      <c r="B104" s="58"/>
      <c r="C104" s="58"/>
      <c r="D104" s="58"/>
      <c r="E104" s="58"/>
      <c r="F104" s="58"/>
      <c r="G104" s="58"/>
      <c r="H104" s="58"/>
      <c r="I104" s="58"/>
      <c r="J104" s="58"/>
      <c r="K104" s="59"/>
      <c r="L104" s="98"/>
      <c r="M104" s="61"/>
      <c r="N104" s="58"/>
      <c r="O104" s="58"/>
      <c r="P104" s="100"/>
      <c r="Q104" s="100"/>
      <c r="R104" s="101"/>
      <c r="S104" s="62"/>
      <c r="T104" s="102"/>
      <c r="U104" s="64"/>
      <c r="V104" s="65"/>
      <c r="W104" s="65"/>
      <c r="X104" s="146" t="s">
        <v>41</v>
      </c>
    </row>
    <row r="105" spans="1:24" s="92" customFormat="1" ht="15.75" customHeight="1">
      <c r="A105" s="67"/>
      <c r="B105" s="58"/>
      <c r="C105" s="58"/>
      <c r="D105" s="58"/>
      <c r="E105" s="58"/>
      <c r="F105" s="58"/>
      <c r="G105" s="58"/>
      <c r="H105" s="58"/>
      <c r="I105" s="58"/>
      <c r="J105" s="58"/>
      <c r="K105" s="59"/>
      <c r="L105" s="98"/>
      <c r="M105" s="61"/>
      <c r="N105" s="58"/>
      <c r="O105" s="58"/>
      <c r="P105" s="100"/>
      <c r="Q105" s="100"/>
      <c r="R105" s="101"/>
      <c r="S105" s="62"/>
      <c r="T105" s="102"/>
      <c r="U105" s="64"/>
      <c r="V105" s="65"/>
      <c r="W105" s="65"/>
      <c r="X105" s="79" t="s">
        <v>96</v>
      </c>
    </row>
    <row r="106" spans="1:24" s="92" customFormat="1" ht="15.75" customHeight="1">
      <c r="A106" s="67"/>
      <c r="B106" s="58"/>
      <c r="C106" s="58"/>
      <c r="D106" s="58"/>
      <c r="E106" s="58"/>
      <c r="F106" s="58"/>
      <c r="G106" s="58"/>
      <c r="H106" s="58"/>
      <c r="I106" s="58"/>
      <c r="J106" s="58"/>
      <c r="K106" s="59"/>
      <c r="L106" s="98"/>
      <c r="M106" s="61"/>
      <c r="N106" s="58"/>
      <c r="O106" s="58"/>
      <c r="P106" s="100"/>
      <c r="Q106" s="100"/>
      <c r="R106" s="101"/>
      <c r="S106" s="62"/>
      <c r="T106" s="102"/>
      <c r="U106" s="64"/>
      <c r="V106" s="65"/>
      <c r="W106" s="65"/>
      <c r="X106" s="79" t="s">
        <v>100</v>
      </c>
    </row>
    <row r="107" spans="1:24" s="92" customFormat="1" ht="15.75" customHeight="1">
      <c r="A107" s="67"/>
      <c r="B107" s="58"/>
      <c r="C107" s="58"/>
      <c r="D107" s="58"/>
      <c r="E107" s="58"/>
      <c r="F107" s="58"/>
      <c r="G107" s="58"/>
      <c r="H107" s="58"/>
      <c r="I107" s="58"/>
      <c r="J107" s="58"/>
      <c r="K107" s="59"/>
      <c r="L107" s="60"/>
      <c r="M107" s="61"/>
      <c r="N107" s="58"/>
      <c r="O107" s="58"/>
      <c r="P107" s="58"/>
      <c r="Q107" s="78"/>
      <c r="R107" s="59"/>
      <c r="S107" s="62"/>
      <c r="T107" s="73"/>
      <c r="U107" s="64"/>
      <c r="V107" s="65"/>
      <c r="W107" s="65"/>
      <c r="X107" s="79" t="s">
        <v>19</v>
      </c>
    </row>
    <row r="108" spans="1:24" s="92" customFormat="1" ht="15.75" customHeight="1">
      <c r="A108" s="67"/>
      <c r="B108" s="58"/>
      <c r="C108" s="58"/>
      <c r="D108" s="58"/>
      <c r="E108" s="58"/>
      <c r="F108" s="58"/>
      <c r="G108" s="58"/>
      <c r="H108" s="58"/>
      <c r="I108" s="58"/>
      <c r="J108" s="58"/>
      <c r="K108" s="59"/>
      <c r="L108" s="60"/>
      <c r="M108" s="61"/>
      <c r="N108" s="58"/>
      <c r="O108" s="58"/>
      <c r="P108" s="58"/>
      <c r="Q108" s="78"/>
      <c r="R108" s="59"/>
      <c r="S108" s="62"/>
      <c r="T108" s="73"/>
      <c r="U108" s="64"/>
      <c r="V108" s="65"/>
      <c r="W108" s="65"/>
      <c r="X108" s="90"/>
    </row>
    <row r="109" spans="1:24" s="92" customFormat="1" ht="15.75" customHeight="1">
      <c r="A109" s="67"/>
      <c r="B109" s="58"/>
      <c r="C109" s="58"/>
      <c r="D109" s="58"/>
      <c r="E109" s="58"/>
      <c r="F109" s="58"/>
      <c r="G109" s="58"/>
      <c r="H109" s="58"/>
      <c r="I109" s="58"/>
      <c r="J109" s="58"/>
      <c r="K109" s="59"/>
      <c r="L109" s="60"/>
      <c r="M109" s="61"/>
      <c r="N109" s="58"/>
      <c r="O109" s="58"/>
      <c r="P109" s="58"/>
      <c r="Q109" s="78"/>
      <c r="R109" s="59"/>
      <c r="S109" s="62"/>
      <c r="T109" s="73"/>
      <c r="U109" s="64"/>
      <c r="V109" s="65"/>
      <c r="W109" s="65"/>
      <c r="X109" s="90"/>
    </row>
    <row r="110" spans="1:24" s="92" customFormat="1" ht="15.75" customHeight="1">
      <c r="A110" s="67" t="s">
        <v>226</v>
      </c>
      <c r="B110" s="68" t="s">
        <v>58</v>
      </c>
      <c r="C110" s="58">
        <v>4</v>
      </c>
      <c r="D110" s="58">
        <v>5</v>
      </c>
      <c r="E110" s="58">
        <v>3</v>
      </c>
      <c r="F110" s="78" t="s">
        <v>97</v>
      </c>
      <c r="G110" s="58">
        <v>5</v>
      </c>
      <c r="H110" s="58">
        <v>3</v>
      </c>
      <c r="I110" s="58">
        <v>3</v>
      </c>
      <c r="J110" s="58">
        <v>3</v>
      </c>
      <c r="K110" s="59">
        <v>9</v>
      </c>
      <c r="L110" s="98"/>
      <c r="M110" s="61"/>
      <c r="N110" s="58"/>
      <c r="O110" s="58">
        <v>1</v>
      </c>
      <c r="P110" s="68" t="s">
        <v>58</v>
      </c>
      <c r="Q110" s="58" t="s">
        <v>204</v>
      </c>
      <c r="R110" s="68" t="s">
        <v>58</v>
      </c>
      <c r="S110" s="62" t="str">
        <f>VLOOKUP(T110,RW,$Z$293,FALSE)</f>
        <v>6+</v>
      </c>
      <c r="T110" s="69">
        <f>VLOOKUP(Q110,Ruestung,$Z$284,FALSE)+IF(R110=1,1,0)+VLOOKUP(A115,Mount,AO$316,FALSE)</f>
        <v>1</v>
      </c>
      <c r="U110" s="64"/>
      <c r="V110" s="99" t="s">
        <v>58</v>
      </c>
      <c r="W110" s="65">
        <f>IF(B110="-",0,B110)*(100+IF(R110=1,2,0)+IF(P110=1,4,0)+IF(V110="-",0,V110)+VLOOKUP(X114,Waffe,$AA$329,FALSE))</f>
        <v>0</v>
      </c>
      <c r="X110" s="137" t="s">
        <v>91</v>
      </c>
    </row>
    <row r="111" spans="1:24" s="92" customFormat="1" ht="15.75" customHeight="1">
      <c r="A111" s="71"/>
      <c r="B111" s="58"/>
      <c r="C111" s="58"/>
      <c r="D111" s="58"/>
      <c r="E111" s="58"/>
      <c r="F111" s="58"/>
      <c r="G111" s="58"/>
      <c r="H111" s="58"/>
      <c r="I111" s="58"/>
      <c r="J111" s="58"/>
      <c r="K111" s="59"/>
      <c r="L111" s="98"/>
      <c r="M111" s="61"/>
      <c r="N111" s="58"/>
      <c r="O111" s="58"/>
      <c r="P111" s="100"/>
      <c r="Q111" s="100"/>
      <c r="R111" s="101"/>
      <c r="S111" s="62"/>
      <c r="T111" s="102"/>
      <c r="U111" s="64"/>
      <c r="V111" s="65"/>
      <c r="W111" s="65"/>
      <c r="X111" s="75" t="s">
        <v>92</v>
      </c>
    </row>
    <row r="112" spans="1:24" s="92" customFormat="1" ht="15.75" customHeight="1">
      <c r="A112" s="67"/>
      <c r="B112" s="58"/>
      <c r="C112" s="58"/>
      <c r="D112" s="58"/>
      <c r="E112" s="58"/>
      <c r="F112" s="58"/>
      <c r="G112" s="58"/>
      <c r="H112" s="58"/>
      <c r="I112" s="58"/>
      <c r="J112" s="58"/>
      <c r="K112" s="59"/>
      <c r="L112" s="98"/>
      <c r="M112" s="61"/>
      <c r="N112" s="58"/>
      <c r="O112" s="58"/>
      <c r="P112" s="58"/>
      <c r="Q112" s="58"/>
      <c r="R112" s="59"/>
      <c r="S112" s="62"/>
      <c r="T112" s="102"/>
      <c r="U112" s="64"/>
      <c r="V112" s="65"/>
      <c r="W112" s="65"/>
      <c r="X112" s="77" t="s">
        <v>95</v>
      </c>
    </row>
    <row r="113" spans="1:24" s="92" customFormat="1" ht="15.75" customHeight="1">
      <c r="A113" s="67"/>
      <c r="B113" s="100"/>
      <c r="C113" s="58"/>
      <c r="D113" s="58"/>
      <c r="E113" s="58"/>
      <c r="F113" s="58"/>
      <c r="G113" s="58"/>
      <c r="H113" s="58"/>
      <c r="I113" s="58"/>
      <c r="J113" s="58"/>
      <c r="K113" s="59"/>
      <c r="L113" s="98"/>
      <c r="M113" s="61"/>
      <c r="N113" s="58"/>
      <c r="O113" s="58"/>
      <c r="P113" s="58"/>
      <c r="Q113" s="58"/>
      <c r="R113" s="59"/>
      <c r="S113" s="93"/>
      <c r="T113" s="103"/>
      <c r="U113" s="64"/>
      <c r="V113" s="65"/>
      <c r="W113" s="65"/>
      <c r="X113" s="77" t="s">
        <v>93</v>
      </c>
    </row>
    <row r="114" spans="1:24" s="92" customFormat="1" ht="15.75" customHeight="1">
      <c r="A114" s="67"/>
      <c r="B114" s="58"/>
      <c r="C114" s="58"/>
      <c r="D114" s="58"/>
      <c r="E114" s="58"/>
      <c r="F114" s="58"/>
      <c r="G114" s="58"/>
      <c r="H114" s="58"/>
      <c r="I114" s="58"/>
      <c r="J114" s="58"/>
      <c r="K114" s="59"/>
      <c r="L114" s="60"/>
      <c r="M114" s="61"/>
      <c r="N114" s="58"/>
      <c r="O114" s="58"/>
      <c r="P114" s="58"/>
      <c r="Q114" s="58"/>
      <c r="R114" s="59"/>
      <c r="S114" s="93"/>
      <c r="T114" s="94"/>
      <c r="U114" s="64"/>
      <c r="V114" s="65"/>
      <c r="W114" s="65"/>
      <c r="X114" s="87" t="s">
        <v>330</v>
      </c>
    </row>
    <row r="115" spans="1:24" s="92" customFormat="1" ht="15.75" customHeight="1">
      <c r="A115" s="57" t="s">
        <v>200</v>
      </c>
      <c r="B115" s="68">
        <v>1</v>
      </c>
      <c r="C115" s="58" t="str">
        <f>VLOOKUP(A115,Mount,Z$316,FALSE)</f>
        <v>-</v>
      </c>
      <c r="D115" s="58" t="str">
        <f>VLOOKUP(A115,Mount,AA$316,FALSE)</f>
        <v>-</v>
      </c>
      <c r="E115" s="58" t="str">
        <f>VLOOKUP(A115,Mount,AB$316,FALSE)</f>
        <v>-</v>
      </c>
      <c r="F115" s="58" t="str">
        <f>VLOOKUP(A115,Mount,AC$316,FALSE)</f>
        <v>-</v>
      </c>
      <c r="G115" s="58" t="str">
        <f>VLOOKUP(A115,Mount,AD$316,FALSE)</f>
        <v>-</v>
      </c>
      <c r="H115" s="58" t="str">
        <f>VLOOKUP(A115,Mount,AE$316,FALSE)</f>
        <v>-</v>
      </c>
      <c r="I115" s="58" t="str">
        <f>VLOOKUP(A115,Mount,AF$316,FALSE)</f>
        <v>-</v>
      </c>
      <c r="J115" s="58" t="str">
        <f>VLOOKUP(A115,Mount,AG$316,FALSE)</f>
        <v>-</v>
      </c>
      <c r="K115" s="58" t="str">
        <f>VLOOKUP(A115,Mount,AH$316,FALSE)</f>
        <v>-</v>
      </c>
      <c r="L115" s="60"/>
      <c r="M115" s="61"/>
      <c r="N115" s="58"/>
      <c r="O115" s="58"/>
      <c r="P115" s="58"/>
      <c r="Q115" s="58"/>
      <c r="R115" s="59"/>
      <c r="S115" s="62" t="str">
        <f>VLOOKUP(A115,Mount,AI$316,FALSE)</f>
        <v>-</v>
      </c>
      <c r="T115" s="69"/>
      <c r="U115" s="64"/>
      <c r="V115" s="65"/>
      <c r="W115" s="65">
        <f>IF(B115="-",0,B115)*(VLOOKUP($A115,Mount,AM$316,FALSE))+IF(AND(A115="Khemrische Kriegssphinx",B115=1),VLOOKUP(X118,Sphinx,$Z$346,FALSE),0)+IF(AND(A115="Khemrische Kriegssphinx",B115=1),VLOOKUP(X119,Sphinx,$Z$346,FALSE),0)</f>
        <v>0</v>
      </c>
      <c r="X115" s="86" t="str">
        <f>VLOOKUP($A115,Mount,AK$316,FALSE)</f>
        <v>-</v>
      </c>
    </row>
    <row r="116" spans="1:24" s="92" customFormat="1" ht="15.75" customHeight="1">
      <c r="A116" s="57" t="str">
        <f>IF(A115="Skelettstreitwagen","Skelettpferd","-")</f>
        <v>-</v>
      </c>
      <c r="B116" s="58" t="str">
        <f>IF(A115="Skelettstreitwagen",B115*2,"-")</f>
        <v>-</v>
      </c>
      <c r="C116" s="58" t="str">
        <f>IF(A115="Skelettstreitwagen",8,"-")</f>
        <v>-</v>
      </c>
      <c r="D116" s="58" t="str">
        <f>IF(A115="Skelettstreitwagen",2,"-")</f>
        <v>-</v>
      </c>
      <c r="E116" s="58" t="s">
        <v>58</v>
      </c>
      <c r="F116" s="58" t="str">
        <f>IF(A115="Skelettstreitwagen",3,"-")</f>
        <v>-</v>
      </c>
      <c r="G116" s="58" t="s">
        <v>58</v>
      </c>
      <c r="H116" s="58" t="s">
        <v>58</v>
      </c>
      <c r="I116" s="58" t="str">
        <f>IF(A115="Skelettstreitwagen",2,"-")</f>
        <v>-</v>
      </c>
      <c r="J116" s="58" t="str">
        <f>IF(A115="Skelettstreitwagen",1,"-")</f>
        <v>-</v>
      </c>
      <c r="K116" s="59" t="s">
        <v>58</v>
      </c>
      <c r="L116" s="60"/>
      <c r="M116" s="61"/>
      <c r="N116" s="58"/>
      <c r="O116" s="58"/>
      <c r="P116" s="58"/>
      <c r="Q116" s="58"/>
      <c r="R116" s="59"/>
      <c r="S116" s="62"/>
      <c r="T116" s="58"/>
      <c r="U116" s="64"/>
      <c r="V116" s="65"/>
      <c r="W116" s="65"/>
      <c r="X116" s="86" t="str">
        <f>VLOOKUP($A115,Mount,AL$316,FALSE)</f>
        <v>-</v>
      </c>
    </row>
    <row r="117" spans="1:24" s="92" customFormat="1" ht="15.75" customHeight="1">
      <c r="A117" s="83"/>
      <c r="B117" s="58"/>
      <c r="C117" s="58"/>
      <c r="D117" s="58"/>
      <c r="E117" s="58"/>
      <c r="F117" s="58"/>
      <c r="G117" s="58"/>
      <c r="H117" s="58"/>
      <c r="I117" s="58"/>
      <c r="J117" s="58"/>
      <c r="K117" s="59"/>
      <c r="L117" s="60"/>
      <c r="M117" s="61"/>
      <c r="N117" s="58"/>
      <c r="O117" s="58"/>
      <c r="P117" s="58"/>
      <c r="Q117" s="58"/>
      <c r="R117" s="59"/>
      <c r="S117" s="62"/>
      <c r="T117" s="58"/>
      <c r="U117" s="64"/>
      <c r="V117" s="65"/>
      <c r="W117" s="65"/>
      <c r="X117" s="104" t="str">
        <f>VLOOKUP($A115,Mount,$AN$316,FALSE)</f>
        <v>-</v>
      </c>
    </row>
    <row r="118" spans="1:24" s="92" customFormat="1" ht="15.75" customHeight="1">
      <c r="A118" s="83"/>
      <c r="B118" s="58"/>
      <c r="C118" s="58"/>
      <c r="D118" s="58"/>
      <c r="E118" s="58"/>
      <c r="F118" s="58"/>
      <c r="G118" s="58"/>
      <c r="H118" s="58"/>
      <c r="I118" s="58"/>
      <c r="J118" s="58"/>
      <c r="K118" s="59"/>
      <c r="L118" s="60"/>
      <c r="M118" s="61"/>
      <c r="N118" s="58"/>
      <c r="O118" s="58"/>
      <c r="P118" s="58"/>
      <c r="Q118" s="58"/>
      <c r="R118" s="59"/>
      <c r="S118" s="62"/>
      <c r="T118" s="58"/>
      <c r="U118" s="64"/>
      <c r="V118" s="65"/>
      <c r="W118" s="65"/>
      <c r="X118" s="105" t="s">
        <v>123</v>
      </c>
    </row>
    <row r="119" spans="1:24" s="92" customFormat="1" ht="15.75" customHeight="1">
      <c r="A119" s="83"/>
      <c r="B119" s="58"/>
      <c r="C119" s="58"/>
      <c r="D119" s="58"/>
      <c r="E119" s="58"/>
      <c r="F119" s="58"/>
      <c r="G119" s="58"/>
      <c r="H119" s="58"/>
      <c r="I119" s="58"/>
      <c r="J119" s="58"/>
      <c r="K119" s="59"/>
      <c r="L119" s="60"/>
      <c r="M119" s="61"/>
      <c r="N119" s="58"/>
      <c r="O119" s="58"/>
      <c r="P119" s="58"/>
      <c r="Q119" s="58"/>
      <c r="R119" s="59"/>
      <c r="S119" s="62"/>
      <c r="T119" s="58"/>
      <c r="U119" s="64"/>
      <c r="V119" s="65"/>
      <c r="W119" s="65"/>
      <c r="X119" s="105" t="s">
        <v>123</v>
      </c>
    </row>
    <row r="120" spans="1:24" s="92" customFormat="1" ht="15.75" customHeight="1">
      <c r="A120" s="57"/>
      <c r="B120" s="58"/>
      <c r="C120" s="58"/>
      <c r="D120" s="58"/>
      <c r="E120" s="58"/>
      <c r="F120" s="58"/>
      <c r="G120" s="58"/>
      <c r="H120" s="58"/>
      <c r="I120" s="58"/>
      <c r="J120" s="58"/>
      <c r="K120" s="59"/>
      <c r="L120" s="60"/>
      <c r="M120" s="61"/>
      <c r="N120" s="58"/>
      <c r="O120" s="58"/>
      <c r="P120" s="58"/>
      <c r="Q120" s="58"/>
      <c r="R120" s="59"/>
      <c r="S120" s="93"/>
      <c r="T120" s="94"/>
      <c r="U120" s="64"/>
      <c r="V120" s="65"/>
      <c r="W120" s="65"/>
      <c r="X120" s="140"/>
    </row>
    <row r="121" spans="1:24" s="56" customFormat="1" ht="15.75" customHeight="1">
      <c r="A121" s="67"/>
      <c r="B121" s="58"/>
      <c r="C121" s="58"/>
      <c r="D121" s="58"/>
      <c r="E121" s="58"/>
      <c r="F121" s="58"/>
      <c r="G121" s="58"/>
      <c r="H121" s="58"/>
      <c r="I121" s="58"/>
      <c r="J121" s="58"/>
      <c r="K121" s="59"/>
      <c r="L121" s="98"/>
      <c r="M121" s="61"/>
      <c r="N121" s="58"/>
      <c r="O121" s="58"/>
      <c r="P121" s="58"/>
      <c r="Q121" s="58"/>
      <c r="R121" s="59"/>
      <c r="S121" s="93"/>
      <c r="T121" s="94"/>
      <c r="U121" s="64"/>
      <c r="V121" s="65"/>
      <c r="W121" s="65"/>
      <c r="X121" s="75"/>
    </row>
    <row r="122" spans="1:28" s="56" customFormat="1" ht="15.75" customHeight="1">
      <c r="A122" s="71" t="s">
        <v>306</v>
      </c>
      <c r="B122" s="68" t="s">
        <v>58</v>
      </c>
      <c r="C122" s="58">
        <v>4</v>
      </c>
      <c r="D122" s="58">
        <v>4</v>
      </c>
      <c r="E122" s="58">
        <v>3</v>
      </c>
      <c r="F122" s="78" t="s">
        <v>97</v>
      </c>
      <c r="G122" s="58">
        <v>4</v>
      </c>
      <c r="H122" s="58">
        <v>2</v>
      </c>
      <c r="I122" s="58">
        <v>3</v>
      </c>
      <c r="J122" s="58">
        <v>3</v>
      </c>
      <c r="K122" s="59">
        <v>8</v>
      </c>
      <c r="L122" s="60"/>
      <c r="M122" s="61"/>
      <c r="N122" s="58"/>
      <c r="O122" s="58">
        <v>1</v>
      </c>
      <c r="P122" s="68" t="s">
        <v>58</v>
      </c>
      <c r="Q122" s="58" t="s">
        <v>204</v>
      </c>
      <c r="R122" s="68" t="s">
        <v>58</v>
      </c>
      <c r="S122" s="62" t="str">
        <f>VLOOKUP(T122,RW,$Z$293,FALSE)</f>
        <v>6+</v>
      </c>
      <c r="T122" s="69">
        <f>VLOOKUP(Q122,Ruestung2,$Z$284,FALSE)+IF(R122=1,1,0)+VLOOKUP(A129,Mount,AO$316,FALSE)</f>
        <v>1</v>
      </c>
      <c r="U122" s="64"/>
      <c r="V122" s="99" t="s">
        <v>58</v>
      </c>
      <c r="W122" s="65">
        <f>IF(B122="-",0,B122)*(60+IF(R122=1,2,0)+IF(P122=1,4,0)+IF(V122="-",0,V122)+VLOOKUP(X126,Waffe,$AA$329,FALSE))</f>
        <v>0</v>
      </c>
      <c r="X122" s="137" t="s">
        <v>43</v>
      </c>
      <c r="Z122" s="116"/>
      <c r="AA122" s="116"/>
      <c r="AB122" s="116"/>
    </row>
    <row r="123" spans="1:28" s="56" customFormat="1" ht="15.75" customHeight="1">
      <c r="A123" s="71"/>
      <c r="B123" s="58"/>
      <c r="C123" s="58"/>
      <c r="D123" s="58"/>
      <c r="E123" s="58"/>
      <c r="F123" s="58"/>
      <c r="G123" s="58"/>
      <c r="H123" s="58"/>
      <c r="I123" s="58"/>
      <c r="J123" s="58"/>
      <c r="K123" s="59"/>
      <c r="L123" s="60"/>
      <c r="M123" s="61"/>
      <c r="N123" s="58"/>
      <c r="O123" s="58"/>
      <c r="P123" s="58"/>
      <c r="Q123" s="58"/>
      <c r="R123" s="59"/>
      <c r="S123" s="62"/>
      <c r="T123" s="58"/>
      <c r="U123" s="64"/>
      <c r="V123" s="65"/>
      <c r="W123" s="65"/>
      <c r="X123" s="138" t="s">
        <v>156</v>
      </c>
      <c r="Z123" s="116"/>
      <c r="AA123" s="116"/>
      <c r="AB123" s="116"/>
    </row>
    <row r="124" spans="1:28" s="56" customFormat="1" ht="15.75" customHeight="1">
      <c r="A124" s="71"/>
      <c r="B124" s="58"/>
      <c r="C124" s="58"/>
      <c r="D124" s="58"/>
      <c r="E124" s="58"/>
      <c r="F124" s="58"/>
      <c r="G124" s="58"/>
      <c r="H124" s="58"/>
      <c r="I124" s="58"/>
      <c r="J124" s="58"/>
      <c r="K124" s="59"/>
      <c r="L124" s="60"/>
      <c r="M124" s="61"/>
      <c r="N124" s="58"/>
      <c r="O124" s="58"/>
      <c r="P124" s="58"/>
      <c r="Q124" s="58"/>
      <c r="R124" s="59"/>
      <c r="S124" s="62"/>
      <c r="T124" s="58"/>
      <c r="U124" s="64"/>
      <c r="V124" s="65"/>
      <c r="W124" s="65"/>
      <c r="X124" s="138" t="s">
        <v>157</v>
      </c>
      <c r="Z124" s="116"/>
      <c r="AA124" s="116"/>
      <c r="AB124" s="116"/>
    </row>
    <row r="125" spans="1:28" s="56" customFormat="1" ht="15.75" customHeight="1">
      <c r="A125" s="71"/>
      <c r="B125" s="58"/>
      <c r="C125" s="58"/>
      <c r="D125" s="58"/>
      <c r="E125" s="58"/>
      <c r="F125" s="58"/>
      <c r="G125" s="58"/>
      <c r="H125" s="58"/>
      <c r="I125" s="58"/>
      <c r="J125" s="58"/>
      <c r="K125" s="59"/>
      <c r="L125" s="60"/>
      <c r="M125" s="61"/>
      <c r="N125" s="58"/>
      <c r="O125" s="58"/>
      <c r="P125" s="58"/>
      <c r="Q125" s="58"/>
      <c r="R125" s="59"/>
      <c r="S125" s="62"/>
      <c r="T125" s="58"/>
      <c r="U125" s="64"/>
      <c r="V125" s="65"/>
      <c r="W125" s="65"/>
      <c r="X125" s="138" t="s">
        <v>158</v>
      </c>
      <c r="Z125" s="116"/>
      <c r="AA125" s="116"/>
      <c r="AB125" s="116"/>
    </row>
    <row r="126" spans="1:28" s="56" customFormat="1" ht="15.75" customHeight="1">
      <c r="A126" s="71"/>
      <c r="B126" s="58"/>
      <c r="C126" s="58"/>
      <c r="D126" s="58"/>
      <c r="E126" s="58"/>
      <c r="F126" s="58"/>
      <c r="G126" s="58"/>
      <c r="H126" s="58"/>
      <c r="I126" s="58"/>
      <c r="J126" s="58"/>
      <c r="K126" s="59"/>
      <c r="L126" s="60"/>
      <c r="M126" s="61"/>
      <c r="N126" s="58"/>
      <c r="O126" s="58"/>
      <c r="P126" s="58"/>
      <c r="Q126" s="58"/>
      <c r="R126" s="59"/>
      <c r="S126" s="62"/>
      <c r="T126" s="58"/>
      <c r="U126" s="64"/>
      <c r="V126" s="65"/>
      <c r="W126" s="65"/>
      <c r="X126" s="87" t="s">
        <v>330</v>
      </c>
      <c r="Z126" s="116"/>
      <c r="AA126" s="116"/>
      <c r="AB126" s="116"/>
    </row>
    <row r="127" spans="1:24" s="56" customFormat="1" ht="15.75" customHeight="1">
      <c r="A127" s="71" t="s">
        <v>37</v>
      </c>
      <c r="B127" s="68" t="s">
        <v>58</v>
      </c>
      <c r="C127" s="58"/>
      <c r="D127" s="58"/>
      <c r="E127" s="58"/>
      <c r="F127" s="58"/>
      <c r="G127" s="58"/>
      <c r="H127" s="58"/>
      <c r="I127" s="58"/>
      <c r="J127" s="58"/>
      <c r="K127" s="59"/>
      <c r="L127" s="60"/>
      <c r="M127" s="61"/>
      <c r="N127" s="58"/>
      <c r="O127" s="58"/>
      <c r="P127" s="58"/>
      <c r="Q127" s="58"/>
      <c r="R127" s="59"/>
      <c r="S127" s="62"/>
      <c r="T127" s="58"/>
      <c r="U127" s="64"/>
      <c r="V127" s="99" t="s">
        <v>58</v>
      </c>
      <c r="W127" s="65">
        <f>IF(B127="-",0,B127)*(25)+IF(V127="-",0,V127)</f>
        <v>0</v>
      </c>
      <c r="X127" s="147" t="s">
        <v>295</v>
      </c>
    </row>
    <row r="128" spans="1:24" s="56" customFormat="1" ht="15.75" customHeight="1">
      <c r="A128" s="67"/>
      <c r="B128" s="58"/>
      <c r="C128" s="58"/>
      <c r="D128" s="58"/>
      <c r="E128" s="58"/>
      <c r="F128" s="58"/>
      <c r="G128" s="58"/>
      <c r="H128" s="58"/>
      <c r="I128" s="58"/>
      <c r="J128" s="58"/>
      <c r="K128" s="59"/>
      <c r="L128" s="60"/>
      <c r="M128" s="61"/>
      <c r="N128" s="58"/>
      <c r="O128" s="58"/>
      <c r="P128" s="58"/>
      <c r="Q128" s="58"/>
      <c r="R128" s="59"/>
      <c r="S128" s="62"/>
      <c r="T128" s="58"/>
      <c r="U128" s="64"/>
      <c r="V128" s="65"/>
      <c r="W128" s="65"/>
      <c r="X128" s="80" t="s">
        <v>296</v>
      </c>
    </row>
    <row r="129" spans="1:28" s="56" customFormat="1" ht="15.75" customHeight="1" outlineLevel="2">
      <c r="A129" s="67" t="s">
        <v>200</v>
      </c>
      <c r="B129" s="68">
        <v>1</v>
      </c>
      <c r="C129" s="58" t="str">
        <f>VLOOKUP(A129,Mount,Z$316,FALSE)</f>
        <v>-</v>
      </c>
      <c r="D129" s="58" t="str">
        <f>VLOOKUP(A129,Mount,AA$316,FALSE)</f>
        <v>-</v>
      </c>
      <c r="E129" s="58" t="str">
        <f>VLOOKUP(A129,Mount,AB$316,FALSE)</f>
        <v>-</v>
      </c>
      <c r="F129" s="58" t="str">
        <f>VLOOKUP(A129,Mount,AC$316,FALSE)</f>
        <v>-</v>
      </c>
      <c r="G129" s="58" t="str">
        <f>VLOOKUP(A129,Mount,AD$316,FALSE)</f>
        <v>-</v>
      </c>
      <c r="H129" s="58" t="str">
        <f>VLOOKUP(A129,Mount,AE$316,FALSE)</f>
        <v>-</v>
      </c>
      <c r="I129" s="58" t="str">
        <f>VLOOKUP(A129,Mount,AF$316,FALSE)</f>
        <v>-</v>
      </c>
      <c r="J129" s="58" t="str">
        <f>VLOOKUP(A129,Mount,AG$316,FALSE)</f>
        <v>-</v>
      </c>
      <c r="K129" s="58" t="str">
        <f>VLOOKUP(A129,Mount,AH$316,FALSE)</f>
        <v>-</v>
      </c>
      <c r="L129" s="60"/>
      <c r="M129" s="61"/>
      <c r="N129" s="58"/>
      <c r="O129" s="58"/>
      <c r="P129" s="58"/>
      <c r="Q129" s="58"/>
      <c r="R129" s="59"/>
      <c r="S129" s="62" t="str">
        <f>VLOOKUP(A129,Mount,AI$316,FALSE)</f>
        <v>-</v>
      </c>
      <c r="T129" s="69"/>
      <c r="U129" s="64"/>
      <c r="V129" s="65"/>
      <c r="W129" s="65">
        <f>IF(B129="-",0,B129)*(VLOOKUP($A129,Mount,AM$316,FALSE))</f>
        <v>0</v>
      </c>
      <c r="X129" s="86" t="str">
        <f>VLOOKUP($A129,Mount,AK$316,FALSE)</f>
        <v>-</v>
      </c>
      <c r="Z129" s="116"/>
      <c r="AA129" s="116"/>
      <c r="AB129" s="116"/>
    </row>
    <row r="130" spans="1:24" s="56" customFormat="1" ht="15.75" customHeight="1">
      <c r="A130" s="67" t="str">
        <f>IF(A129="Skelettstreitwagen","Skelettpferd","-")</f>
        <v>-</v>
      </c>
      <c r="B130" s="58" t="str">
        <f>IF(A129="Skelettstreitwagen",B129*2,"-")</f>
        <v>-</v>
      </c>
      <c r="C130" s="58" t="str">
        <f>IF(A129="Skelettstreitwagen",8,"-")</f>
        <v>-</v>
      </c>
      <c r="D130" s="58" t="str">
        <f>IF(A129="Skelettstreitwagen",2,"-")</f>
        <v>-</v>
      </c>
      <c r="E130" s="58" t="s">
        <v>58</v>
      </c>
      <c r="F130" s="58" t="str">
        <f>IF(A129="Skelettstreitwagen",3,"-")</f>
        <v>-</v>
      </c>
      <c r="G130" s="58" t="s">
        <v>58</v>
      </c>
      <c r="H130" s="58" t="s">
        <v>58</v>
      </c>
      <c r="I130" s="58" t="str">
        <f>IF(A129="Skelettstreitwagen",2,"-")</f>
        <v>-</v>
      </c>
      <c r="J130" s="58" t="str">
        <f>IF(A129="Skelettstreitwagen",1,"-")</f>
        <v>-</v>
      </c>
      <c r="K130" s="59" t="s">
        <v>58</v>
      </c>
      <c r="L130" s="60"/>
      <c r="M130" s="61"/>
      <c r="N130" s="58"/>
      <c r="O130" s="58"/>
      <c r="P130" s="58"/>
      <c r="Q130" s="58"/>
      <c r="R130" s="59"/>
      <c r="S130" s="62"/>
      <c r="T130" s="58"/>
      <c r="U130" s="64"/>
      <c r="V130" s="65"/>
      <c r="W130" s="65"/>
      <c r="X130" s="86" t="str">
        <f>VLOOKUP($A129,Mount,AL$316,FALSE)</f>
        <v>-</v>
      </c>
    </row>
    <row r="131" spans="1:24" s="56" customFormat="1" ht="15.75" customHeight="1">
      <c r="A131" s="67"/>
      <c r="B131" s="58"/>
      <c r="C131" s="58"/>
      <c r="D131" s="58"/>
      <c r="E131" s="58"/>
      <c r="F131" s="58"/>
      <c r="G131" s="58"/>
      <c r="H131" s="58"/>
      <c r="I131" s="58"/>
      <c r="J131" s="58"/>
      <c r="K131" s="59"/>
      <c r="L131" s="60"/>
      <c r="M131" s="61"/>
      <c r="N131" s="58"/>
      <c r="O131" s="58"/>
      <c r="P131" s="58"/>
      <c r="Q131" s="58"/>
      <c r="R131" s="59"/>
      <c r="S131" s="62"/>
      <c r="T131" s="58"/>
      <c r="U131" s="64"/>
      <c r="V131" s="65"/>
      <c r="W131" s="65"/>
      <c r="X131" s="105"/>
    </row>
    <row r="132" spans="1:24" s="56" customFormat="1" ht="15.75" customHeight="1">
      <c r="A132" s="83"/>
      <c r="B132" s="58"/>
      <c r="C132" s="58"/>
      <c r="D132" s="58"/>
      <c r="E132" s="58"/>
      <c r="F132" s="58"/>
      <c r="G132" s="58"/>
      <c r="H132" s="58"/>
      <c r="I132" s="58"/>
      <c r="J132" s="58"/>
      <c r="K132" s="59"/>
      <c r="L132" s="60"/>
      <c r="M132" s="61"/>
      <c r="N132" s="58"/>
      <c r="O132" s="58"/>
      <c r="P132" s="58"/>
      <c r="Q132" s="58"/>
      <c r="R132" s="59"/>
      <c r="S132" s="62"/>
      <c r="T132" s="58"/>
      <c r="U132" s="64"/>
      <c r="V132" s="65"/>
      <c r="W132" s="65"/>
      <c r="X132" s="104"/>
    </row>
    <row r="133" spans="1:31" s="56" customFormat="1" ht="15.75" customHeight="1">
      <c r="A133" s="57" t="s">
        <v>224</v>
      </c>
      <c r="B133" s="68" t="s">
        <v>58</v>
      </c>
      <c r="C133" s="58">
        <v>4</v>
      </c>
      <c r="D133" s="58">
        <v>3</v>
      </c>
      <c r="E133" s="58">
        <v>3</v>
      </c>
      <c r="F133" s="58">
        <v>3</v>
      </c>
      <c r="G133" s="58">
        <v>3</v>
      </c>
      <c r="H133" s="58">
        <v>2</v>
      </c>
      <c r="I133" s="58">
        <v>3</v>
      </c>
      <c r="J133" s="58">
        <v>1</v>
      </c>
      <c r="K133" s="59">
        <v>7</v>
      </c>
      <c r="L133" s="60"/>
      <c r="M133" s="61"/>
      <c r="N133" s="58"/>
      <c r="O133" s="58">
        <v>1</v>
      </c>
      <c r="P133" s="88" t="s">
        <v>58</v>
      </c>
      <c r="Q133" s="88" t="s">
        <v>58</v>
      </c>
      <c r="R133" s="88" t="s">
        <v>58</v>
      </c>
      <c r="S133" s="62" t="str">
        <f>VLOOKUP(T133,RW,$Z$293,FALSE)</f>
        <v>-</v>
      </c>
      <c r="T133" s="69">
        <f>VLOOKUP(Q133,Ruestung,$Z$284,FALSE)+IF(R133=1,1,0)+VLOOKUP(A135,Mount,AO$316,FALSE)</f>
        <v>0</v>
      </c>
      <c r="U133" s="64"/>
      <c r="V133" s="99" t="s">
        <v>58</v>
      </c>
      <c r="W133" s="65">
        <f>IF(B133="-",0,B133)*(70+IF(B134=2,35,0)+IF(V133="-",0,V133))</f>
        <v>0</v>
      </c>
      <c r="X133" s="137" t="s">
        <v>42</v>
      </c>
      <c r="Z133" s="116"/>
      <c r="AA133" s="116"/>
      <c r="AB133" s="116"/>
      <c r="AC133" s="148"/>
      <c r="AD133" s="149"/>
      <c r="AE133" s="148"/>
    </row>
    <row r="134" spans="1:31" s="56" customFormat="1" ht="15.75" customHeight="1">
      <c r="A134" s="71" t="s">
        <v>36</v>
      </c>
      <c r="B134" s="68">
        <v>1</v>
      </c>
      <c r="C134" s="58"/>
      <c r="D134" s="58"/>
      <c r="E134" s="58"/>
      <c r="F134" s="58"/>
      <c r="G134" s="58"/>
      <c r="H134" s="58"/>
      <c r="I134" s="58"/>
      <c r="J134" s="58"/>
      <c r="K134" s="59"/>
      <c r="L134" s="60"/>
      <c r="M134" s="61"/>
      <c r="N134" s="58"/>
      <c r="O134" s="58"/>
      <c r="P134" s="117"/>
      <c r="Q134" s="58"/>
      <c r="R134" s="59"/>
      <c r="S134" s="118"/>
      <c r="T134" s="58"/>
      <c r="U134" s="64"/>
      <c r="V134" s="65"/>
      <c r="W134" s="65"/>
      <c r="X134" s="75" t="s">
        <v>6</v>
      </c>
      <c r="AC134" s="148"/>
      <c r="AD134" s="149"/>
      <c r="AE134" s="148"/>
    </row>
    <row r="135" spans="1:31" s="56" customFormat="1" ht="15.75" customHeight="1">
      <c r="A135" s="83" t="s">
        <v>200</v>
      </c>
      <c r="B135" s="68">
        <v>1</v>
      </c>
      <c r="C135" s="58" t="str">
        <f>VLOOKUP(A135,Mount,Z$316,FALSE)</f>
        <v>-</v>
      </c>
      <c r="D135" s="58" t="str">
        <f>VLOOKUP(A135,Mount,AA$316,FALSE)</f>
        <v>-</v>
      </c>
      <c r="E135" s="58" t="str">
        <f>VLOOKUP(A135,Mount,AB$316,FALSE)</f>
        <v>-</v>
      </c>
      <c r="F135" s="58" t="str">
        <f>VLOOKUP(A135,Mount,AC$316,FALSE)</f>
        <v>-</v>
      </c>
      <c r="G135" s="58" t="str">
        <f>VLOOKUP(A135,Mount,AD$316,FALSE)</f>
        <v>-</v>
      </c>
      <c r="H135" s="58" t="str">
        <f>VLOOKUP(A135,Mount,AE$316,FALSE)</f>
        <v>-</v>
      </c>
      <c r="I135" s="58" t="str">
        <f>VLOOKUP(A135,Mount,AF$316,FALSE)</f>
        <v>-</v>
      </c>
      <c r="J135" s="58" t="str">
        <f>VLOOKUP(A135,Mount,AG$316,FALSE)</f>
        <v>-</v>
      </c>
      <c r="K135" s="58" t="str">
        <f>VLOOKUP(A135,Mount,AH$316,FALSE)</f>
        <v>-</v>
      </c>
      <c r="L135" s="60"/>
      <c r="M135" s="61"/>
      <c r="N135" s="58"/>
      <c r="O135" s="58"/>
      <c r="P135" s="58"/>
      <c r="Q135" s="58"/>
      <c r="R135" s="59"/>
      <c r="S135" s="62" t="str">
        <f>VLOOKUP(A135,Mount,AI$316,FALSE)</f>
        <v>-</v>
      </c>
      <c r="T135" s="69"/>
      <c r="U135" s="64"/>
      <c r="V135" s="65"/>
      <c r="W135" s="65">
        <f>IF(B135="-",0,B135)*(VLOOKUP($A135,Mount,AM$316,FALSE))</f>
        <v>0</v>
      </c>
      <c r="X135" s="86" t="str">
        <f>VLOOKUP($A135,Mount,AK$316,FALSE)</f>
        <v>-</v>
      </c>
      <c r="AC135" s="148"/>
      <c r="AD135" s="149"/>
      <c r="AE135" s="148"/>
    </row>
    <row r="136" spans="1:31" s="56" customFormat="1" ht="15.75" customHeight="1">
      <c r="A136" s="67"/>
      <c r="B136" s="58"/>
      <c r="C136" s="120"/>
      <c r="D136" s="120"/>
      <c r="E136" s="120"/>
      <c r="F136" s="120"/>
      <c r="G136" s="120"/>
      <c r="H136" s="120"/>
      <c r="I136" s="120"/>
      <c r="J136" s="120"/>
      <c r="K136" s="121"/>
      <c r="L136" s="122"/>
      <c r="M136" s="123"/>
      <c r="N136" s="120"/>
      <c r="O136" s="120"/>
      <c r="P136" s="120"/>
      <c r="Q136" s="120"/>
      <c r="R136" s="121"/>
      <c r="S136" s="62"/>
      <c r="T136" s="94"/>
      <c r="U136" s="124"/>
      <c r="V136" s="125"/>
      <c r="W136" s="125"/>
      <c r="X136" s="150"/>
      <c r="AC136" s="148"/>
      <c r="AD136" s="149"/>
      <c r="AE136" s="148"/>
    </row>
    <row r="137" spans="1:31" s="151" customFormat="1" ht="15.75" customHeight="1">
      <c r="A137" s="83"/>
      <c r="B137" s="58"/>
      <c r="C137" s="58"/>
      <c r="D137" s="58"/>
      <c r="E137" s="58"/>
      <c r="F137" s="58"/>
      <c r="G137" s="58"/>
      <c r="H137" s="58"/>
      <c r="I137" s="58"/>
      <c r="J137" s="58"/>
      <c r="K137" s="59"/>
      <c r="L137" s="60"/>
      <c r="M137" s="61"/>
      <c r="N137" s="58"/>
      <c r="O137" s="58"/>
      <c r="P137" s="58"/>
      <c r="Q137" s="78"/>
      <c r="R137" s="59"/>
      <c r="S137" s="62"/>
      <c r="T137" s="73"/>
      <c r="U137" s="64"/>
      <c r="V137" s="65"/>
      <c r="W137" s="65"/>
      <c r="X137" s="77"/>
      <c r="AC137" s="152"/>
      <c r="AD137" s="153"/>
      <c r="AE137" s="152"/>
    </row>
    <row r="138" spans="1:31" s="151" customFormat="1" ht="15.75" customHeight="1">
      <c r="A138" s="67" t="s">
        <v>227</v>
      </c>
      <c r="B138" s="68" t="s">
        <v>58</v>
      </c>
      <c r="C138" s="58">
        <v>4</v>
      </c>
      <c r="D138" s="58">
        <v>3</v>
      </c>
      <c r="E138" s="58">
        <v>3</v>
      </c>
      <c r="F138" s="58">
        <v>4</v>
      </c>
      <c r="G138" s="58">
        <v>4</v>
      </c>
      <c r="H138" s="58">
        <v>2</v>
      </c>
      <c r="I138" s="58">
        <v>3</v>
      </c>
      <c r="J138" s="58">
        <v>2</v>
      </c>
      <c r="K138" s="59">
        <v>7</v>
      </c>
      <c r="L138" s="98"/>
      <c r="M138" s="61"/>
      <c r="N138" s="58"/>
      <c r="O138" s="58">
        <v>2</v>
      </c>
      <c r="P138" s="88" t="s">
        <v>58</v>
      </c>
      <c r="Q138" s="58" t="s">
        <v>204</v>
      </c>
      <c r="R138" s="88" t="s">
        <v>58</v>
      </c>
      <c r="S138" s="62" t="str">
        <f>VLOOKUP(T138,RW,$Z$293,FALSE)</f>
        <v>6+</v>
      </c>
      <c r="T138" s="69">
        <f>VLOOKUP(Q138,Ruestung,$Z$284,FALSE)+IF(R138=1,1,0)</f>
        <v>1</v>
      </c>
      <c r="U138" s="64"/>
      <c r="V138" s="99" t="s">
        <v>58</v>
      </c>
      <c r="W138" s="65">
        <f>IF(B138="-",0,B138)*(60)+IF(V138="-",0,V138)</f>
        <v>0</v>
      </c>
      <c r="X138" s="137" t="s">
        <v>39</v>
      </c>
      <c r="AC138" s="152"/>
      <c r="AD138" s="153"/>
      <c r="AE138" s="152"/>
    </row>
    <row r="139" spans="1:31" s="151" customFormat="1" ht="15.75" customHeight="1">
      <c r="A139" s="67"/>
      <c r="B139" s="58"/>
      <c r="C139" s="58"/>
      <c r="D139" s="58"/>
      <c r="E139" s="58"/>
      <c r="F139" s="58"/>
      <c r="G139" s="58"/>
      <c r="H139" s="58"/>
      <c r="I139" s="58"/>
      <c r="J139" s="58"/>
      <c r="K139" s="59"/>
      <c r="L139" s="98"/>
      <c r="M139" s="61"/>
      <c r="N139" s="58"/>
      <c r="O139" s="58"/>
      <c r="P139" s="100"/>
      <c r="Q139" s="58"/>
      <c r="R139" s="101"/>
      <c r="S139" s="62"/>
      <c r="T139" s="73"/>
      <c r="U139" s="64"/>
      <c r="V139" s="65"/>
      <c r="W139" s="65"/>
      <c r="X139" s="145" t="s">
        <v>40</v>
      </c>
      <c r="AC139" s="152"/>
      <c r="AD139" s="153"/>
      <c r="AE139" s="152"/>
    </row>
    <row r="140" spans="1:31" s="151" customFormat="1" ht="15.75" customHeight="1">
      <c r="A140" s="71"/>
      <c r="B140" s="58"/>
      <c r="C140" s="58"/>
      <c r="D140" s="58"/>
      <c r="E140" s="58"/>
      <c r="F140" s="58"/>
      <c r="G140" s="58"/>
      <c r="H140" s="58"/>
      <c r="I140" s="58"/>
      <c r="J140" s="58"/>
      <c r="K140" s="59"/>
      <c r="L140" s="98"/>
      <c r="M140" s="61"/>
      <c r="N140" s="58"/>
      <c r="O140" s="58"/>
      <c r="P140" s="100"/>
      <c r="Q140" s="58"/>
      <c r="R140" s="101"/>
      <c r="S140" s="62"/>
      <c r="T140" s="73"/>
      <c r="U140" s="64"/>
      <c r="V140" s="65"/>
      <c r="W140" s="65"/>
      <c r="X140" s="146" t="s">
        <v>41</v>
      </c>
      <c r="AC140" s="152"/>
      <c r="AD140" s="153"/>
      <c r="AE140" s="152"/>
    </row>
    <row r="141" spans="1:31" s="151" customFormat="1" ht="15.75" customHeight="1">
      <c r="A141" s="71"/>
      <c r="B141" s="58"/>
      <c r="C141" s="58"/>
      <c r="D141" s="58"/>
      <c r="E141" s="58"/>
      <c r="F141" s="58"/>
      <c r="G141" s="58"/>
      <c r="H141" s="58"/>
      <c r="I141" s="58"/>
      <c r="J141" s="58"/>
      <c r="K141" s="59"/>
      <c r="L141" s="98"/>
      <c r="M141" s="61"/>
      <c r="N141" s="58"/>
      <c r="O141" s="58"/>
      <c r="P141" s="100"/>
      <c r="Q141" s="58"/>
      <c r="R141" s="101"/>
      <c r="S141" s="62"/>
      <c r="T141" s="102"/>
      <c r="U141" s="64"/>
      <c r="V141" s="65"/>
      <c r="W141" s="65"/>
      <c r="X141" s="95"/>
      <c r="AC141" s="152"/>
      <c r="AD141" s="153"/>
      <c r="AE141" s="152"/>
    </row>
    <row r="142" spans="1:24" s="151" customFormat="1" ht="15.75" customHeight="1">
      <c r="A142" s="106"/>
      <c r="B142" s="107"/>
      <c r="C142" s="107"/>
      <c r="D142" s="107"/>
      <c r="E142" s="107"/>
      <c r="F142" s="107"/>
      <c r="G142" s="107"/>
      <c r="H142" s="107"/>
      <c r="I142" s="107"/>
      <c r="J142" s="107"/>
      <c r="K142" s="108"/>
      <c r="L142" s="154"/>
      <c r="M142" s="110"/>
      <c r="N142" s="107"/>
      <c r="O142" s="107"/>
      <c r="P142" s="107"/>
      <c r="Q142" s="107"/>
      <c r="R142" s="108"/>
      <c r="S142" s="111"/>
      <c r="T142" s="155"/>
      <c r="U142" s="112"/>
      <c r="V142" s="113"/>
      <c r="W142" s="113"/>
      <c r="X142" s="156"/>
    </row>
    <row r="143" spans="1:26" s="56" customFormat="1" ht="24.75" customHeight="1">
      <c r="A143" s="157" t="s">
        <v>288</v>
      </c>
      <c r="B143" s="158" t="s">
        <v>265</v>
      </c>
      <c r="C143" s="159" t="s">
        <v>261</v>
      </c>
      <c r="D143" s="159" t="s">
        <v>139</v>
      </c>
      <c r="E143" s="159" t="s">
        <v>140</v>
      </c>
      <c r="F143" s="159" t="s">
        <v>38</v>
      </c>
      <c r="G143" s="159" t="s">
        <v>262</v>
      </c>
      <c r="H143" s="159" t="s">
        <v>141</v>
      </c>
      <c r="I143" s="159" t="s">
        <v>280</v>
      </c>
      <c r="J143" s="159" t="s">
        <v>281</v>
      </c>
      <c r="K143" s="159" t="s">
        <v>282</v>
      </c>
      <c r="L143" s="160"/>
      <c r="M143" s="159" t="s">
        <v>237</v>
      </c>
      <c r="N143" s="159" t="s">
        <v>238</v>
      </c>
      <c r="O143" s="159" t="s">
        <v>63</v>
      </c>
      <c r="P143" s="159" t="s">
        <v>135</v>
      </c>
      <c r="Q143" s="159" t="s">
        <v>136</v>
      </c>
      <c r="R143" s="159" t="s">
        <v>138</v>
      </c>
      <c r="S143" s="161" t="s">
        <v>149</v>
      </c>
      <c r="T143" s="159"/>
      <c r="U143" s="162" t="s">
        <v>137</v>
      </c>
      <c r="V143" s="30" t="s">
        <v>199</v>
      </c>
      <c r="W143" s="163" t="s">
        <v>289</v>
      </c>
      <c r="X143" s="162" t="s">
        <v>230</v>
      </c>
      <c r="Y143" s="54" t="s">
        <v>129</v>
      </c>
      <c r="Z143" s="55">
        <f>SUM(W144:W170)</f>
        <v>0</v>
      </c>
    </row>
    <row r="144" spans="1:24" s="56" customFormat="1" ht="15.75" customHeight="1">
      <c r="A144" s="57"/>
      <c r="B144" s="100"/>
      <c r="C144" s="58"/>
      <c r="D144" s="58"/>
      <c r="E144" s="58"/>
      <c r="F144" s="58"/>
      <c r="G144" s="58"/>
      <c r="H144" s="58"/>
      <c r="I144" s="58"/>
      <c r="J144" s="58"/>
      <c r="K144" s="59"/>
      <c r="L144" s="98"/>
      <c r="M144" s="61"/>
      <c r="N144" s="58"/>
      <c r="O144" s="58"/>
      <c r="P144" s="58"/>
      <c r="Q144" s="58"/>
      <c r="R144" s="59"/>
      <c r="S144" s="62"/>
      <c r="T144" s="63"/>
      <c r="U144" s="64"/>
      <c r="V144" s="65"/>
      <c r="W144" s="65"/>
      <c r="X144" s="145"/>
    </row>
    <row r="145" spans="1:24" s="56" customFormat="1" ht="15.75" customHeight="1">
      <c r="A145" s="71" t="s">
        <v>246</v>
      </c>
      <c r="B145" s="68" t="s">
        <v>58</v>
      </c>
      <c r="C145" s="58">
        <v>4</v>
      </c>
      <c r="D145" s="58">
        <v>2</v>
      </c>
      <c r="E145" s="58">
        <v>2</v>
      </c>
      <c r="F145" s="58">
        <v>3</v>
      </c>
      <c r="G145" s="58">
        <v>3</v>
      </c>
      <c r="H145" s="58">
        <v>1</v>
      </c>
      <c r="I145" s="58">
        <v>2</v>
      </c>
      <c r="J145" s="58">
        <v>1</v>
      </c>
      <c r="K145" s="59">
        <v>5</v>
      </c>
      <c r="L145" s="98"/>
      <c r="M145" s="68" t="s">
        <v>58</v>
      </c>
      <c r="N145" s="68" t="s">
        <v>58</v>
      </c>
      <c r="O145" s="58">
        <v>1</v>
      </c>
      <c r="P145" s="58" t="s">
        <v>58</v>
      </c>
      <c r="Q145" s="68" t="s">
        <v>58</v>
      </c>
      <c r="R145" s="58" t="s">
        <v>58</v>
      </c>
      <c r="S145" s="62" t="str">
        <f>VLOOKUP(T145,RW,$Z$293,FALSE)</f>
        <v>-</v>
      </c>
      <c r="T145" s="69">
        <f>VLOOKUP(Q145,Ruestung,$Z$284,FALSE)+IF(R145=1,1,0)</f>
        <v>0</v>
      </c>
      <c r="U145" s="64"/>
      <c r="V145" s="65"/>
      <c r="W145" s="65">
        <f>(IF(B145="-",0,B145)*(6+IF(Q145="L",1,0)))+IF(M145="-",0,M145*10)+IF(N145="-",0,N145*10)</f>
        <v>0</v>
      </c>
      <c r="X145" s="137" t="s">
        <v>303</v>
      </c>
    </row>
    <row r="146" spans="1:24" s="56" customFormat="1" ht="15.75" customHeight="1">
      <c r="A146" s="71" t="s">
        <v>247</v>
      </c>
      <c r="B146" s="68" t="s">
        <v>58</v>
      </c>
      <c r="C146" s="58">
        <v>4</v>
      </c>
      <c r="D146" s="58">
        <v>2</v>
      </c>
      <c r="E146" s="58">
        <v>3</v>
      </c>
      <c r="F146" s="58">
        <v>3</v>
      </c>
      <c r="G146" s="58">
        <v>3</v>
      </c>
      <c r="H146" s="58">
        <v>1</v>
      </c>
      <c r="I146" s="58">
        <v>2</v>
      </c>
      <c r="J146" s="58">
        <v>1</v>
      </c>
      <c r="K146" s="59">
        <v>5</v>
      </c>
      <c r="L146" s="98"/>
      <c r="M146" s="61"/>
      <c r="N146" s="58"/>
      <c r="O146" s="58">
        <v>1</v>
      </c>
      <c r="P146" s="100" t="str">
        <f>P145</f>
        <v>-</v>
      </c>
      <c r="Q146" s="100" t="str">
        <f>Q145</f>
        <v>-</v>
      </c>
      <c r="R146" s="100" t="str">
        <f>R145</f>
        <v>-</v>
      </c>
      <c r="S146" s="62" t="str">
        <f>VLOOKUP(T146,RW,$Z$293,FALSE)</f>
        <v>-</v>
      </c>
      <c r="T146" s="69">
        <f>VLOOKUP(Q146,Ruestung,$Z$284,FALSE)+IF(R146=1,1,0)</f>
        <v>0</v>
      </c>
      <c r="U146" s="64"/>
      <c r="V146" s="65"/>
      <c r="W146" s="65">
        <f>IF(B146="-",0,B146)*(16+IF(Q146="L",1,0))</f>
        <v>0</v>
      </c>
      <c r="X146" s="75" t="s">
        <v>173</v>
      </c>
    </row>
    <row r="147" spans="1:24" s="56" customFormat="1" ht="15.75" customHeight="1">
      <c r="A147" s="71"/>
      <c r="B147" s="58"/>
      <c r="C147" s="58"/>
      <c r="D147" s="58"/>
      <c r="E147" s="58"/>
      <c r="F147" s="58"/>
      <c r="G147" s="58"/>
      <c r="H147" s="58"/>
      <c r="I147" s="58"/>
      <c r="J147" s="58"/>
      <c r="K147" s="59"/>
      <c r="L147" s="98"/>
      <c r="M147" s="61"/>
      <c r="N147" s="58"/>
      <c r="O147" s="58"/>
      <c r="P147" s="100"/>
      <c r="Q147" s="100"/>
      <c r="R147" s="101"/>
      <c r="S147" s="62"/>
      <c r="T147" s="73"/>
      <c r="U147" s="64"/>
      <c r="V147" s="65"/>
      <c r="W147" s="65"/>
      <c r="X147" s="80"/>
    </row>
    <row r="148" spans="1:24" s="56" customFormat="1" ht="15.75" customHeight="1">
      <c r="A148" s="67"/>
      <c r="B148" s="58"/>
      <c r="C148" s="58"/>
      <c r="D148" s="58"/>
      <c r="E148" s="58"/>
      <c r="F148" s="78"/>
      <c r="G148" s="58"/>
      <c r="H148" s="58"/>
      <c r="I148" s="58"/>
      <c r="J148" s="58"/>
      <c r="K148" s="59"/>
      <c r="L148" s="98"/>
      <c r="M148" s="61"/>
      <c r="N148" s="58"/>
      <c r="O148" s="58"/>
      <c r="P148" s="100"/>
      <c r="Q148" s="100"/>
      <c r="R148" s="101"/>
      <c r="S148" s="62"/>
      <c r="T148" s="73"/>
      <c r="U148" s="64"/>
      <c r="V148" s="65"/>
      <c r="W148" s="65"/>
      <c r="X148" s="80"/>
    </row>
    <row r="149" spans="1:24" s="56" customFormat="1" ht="15.75" customHeight="1">
      <c r="A149" s="67" t="s">
        <v>248</v>
      </c>
      <c r="B149" s="68" t="s">
        <v>58</v>
      </c>
      <c r="C149" s="58">
        <v>4</v>
      </c>
      <c r="D149" s="58">
        <v>2</v>
      </c>
      <c r="E149" s="58">
        <v>2</v>
      </c>
      <c r="F149" s="58">
        <v>3</v>
      </c>
      <c r="G149" s="58">
        <v>3</v>
      </c>
      <c r="H149" s="58">
        <v>1</v>
      </c>
      <c r="I149" s="58">
        <v>2</v>
      </c>
      <c r="J149" s="58">
        <v>1</v>
      </c>
      <c r="K149" s="59">
        <v>5</v>
      </c>
      <c r="L149" s="98"/>
      <c r="M149" s="68" t="s">
        <v>58</v>
      </c>
      <c r="N149" s="68" t="s">
        <v>58</v>
      </c>
      <c r="O149" s="58">
        <v>1</v>
      </c>
      <c r="P149" s="58" t="s">
        <v>58</v>
      </c>
      <c r="Q149" s="68" t="s">
        <v>58</v>
      </c>
      <c r="R149" s="58">
        <v>1</v>
      </c>
      <c r="S149" s="62" t="s">
        <v>207</v>
      </c>
      <c r="T149" s="69">
        <f>VLOOKUP(Q149,Ruestung,$Z$284,FALSE)+IF(R149=1,1,0)</f>
        <v>1</v>
      </c>
      <c r="U149" s="64"/>
      <c r="V149" s="65"/>
      <c r="W149" s="65">
        <f>(IF(B149="-",0,B149)*(4+IF(Q149="L",1,0)+VLOOKUP(X150,Waffe,$AB$329,FALSE)))+IF(M149="-",0,M149*10)+IF(N149="-",0,N149*10)</f>
        <v>0</v>
      </c>
      <c r="X149" s="137" t="s">
        <v>307</v>
      </c>
    </row>
    <row r="150" spans="1:24" s="56" customFormat="1" ht="15.75" customHeight="1">
      <c r="A150" s="71" t="s">
        <v>249</v>
      </c>
      <c r="B150" s="68" t="s">
        <v>58</v>
      </c>
      <c r="C150" s="58">
        <v>4</v>
      </c>
      <c r="D150" s="58">
        <v>2</v>
      </c>
      <c r="E150" s="58">
        <v>2</v>
      </c>
      <c r="F150" s="58">
        <v>3</v>
      </c>
      <c r="G150" s="58">
        <v>3</v>
      </c>
      <c r="H150" s="58">
        <v>1</v>
      </c>
      <c r="I150" s="58">
        <v>2</v>
      </c>
      <c r="J150" s="58">
        <v>2</v>
      </c>
      <c r="K150" s="59">
        <v>5</v>
      </c>
      <c r="L150" s="98"/>
      <c r="M150" s="61"/>
      <c r="N150" s="58"/>
      <c r="O150" s="58">
        <v>1</v>
      </c>
      <c r="P150" s="100" t="str">
        <f>P149</f>
        <v>-</v>
      </c>
      <c r="Q150" s="100" t="str">
        <f>Q149</f>
        <v>-</v>
      </c>
      <c r="R150" s="100">
        <f>R149</f>
        <v>1</v>
      </c>
      <c r="S150" s="62" t="s">
        <v>207</v>
      </c>
      <c r="T150" s="69">
        <f>VLOOKUP(Q150,Ruestung,$Z$284,FALSE)+IF(R150=1,1,0)</f>
        <v>1</v>
      </c>
      <c r="U150" s="64"/>
      <c r="V150" s="65"/>
      <c r="W150" s="65">
        <f>IF(B150="-",0,B150)*(14+IF(Q150="L",1,0)+VLOOKUP(X150,Waffe,$AB$329,FALSE))</f>
        <v>0</v>
      </c>
      <c r="X150" s="105" t="s">
        <v>330</v>
      </c>
    </row>
    <row r="151" spans="1:24" s="56" customFormat="1" ht="15.75" customHeight="1">
      <c r="A151" s="71"/>
      <c r="B151" s="58"/>
      <c r="C151" s="58"/>
      <c r="D151" s="58"/>
      <c r="E151" s="58"/>
      <c r="F151" s="58"/>
      <c r="G151" s="58"/>
      <c r="H151" s="58"/>
      <c r="I151" s="58"/>
      <c r="J151" s="58"/>
      <c r="K151" s="59"/>
      <c r="L151" s="98"/>
      <c r="M151" s="61"/>
      <c r="N151" s="58"/>
      <c r="O151" s="58"/>
      <c r="P151" s="100"/>
      <c r="Q151" s="100"/>
      <c r="R151" s="101"/>
      <c r="S151" s="62"/>
      <c r="T151" s="73"/>
      <c r="U151" s="64"/>
      <c r="V151" s="65"/>
      <c r="W151" s="65"/>
      <c r="X151" s="95" t="s">
        <v>266</v>
      </c>
    </row>
    <row r="152" spans="1:24" s="56" customFormat="1" ht="15.75" customHeight="1">
      <c r="A152" s="71"/>
      <c r="B152" s="58"/>
      <c r="C152" s="58"/>
      <c r="D152" s="58"/>
      <c r="E152" s="58"/>
      <c r="F152" s="58"/>
      <c r="G152" s="58"/>
      <c r="H152" s="58"/>
      <c r="I152" s="58"/>
      <c r="J152" s="58"/>
      <c r="K152" s="59"/>
      <c r="L152" s="98"/>
      <c r="M152" s="61"/>
      <c r="N152" s="58"/>
      <c r="O152" s="58"/>
      <c r="P152" s="100"/>
      <c r="Q152" s="100"/>
      <c r="R152" s="101"/>
      <c r="S152" s="62"/>
      <c r="T152" s="73"/>
      <c r="U152" s="64"/>
      <c r="V152" s="65"/>
      <c r="W152" s="65"/>
      <c r="X152" s="75"/>
    </row>
    <row r="153" spans="1:24" s="56" customFormat="1" ht="15.75" customHeight="1">
      <c r="A153" s="71"/>
      <c r="B153" s="58"/>
      <c r="C153" s="58"/>
      <c r="D153" s="58"/>
      <c r="E153" s="58"/>
      <c r="F153" s="58"/>
      <c r="G153" s="58"/>
      <c r="H153" s="58"/>
      <c r="I153" s="58"/>
      <c r="J153" s="58"/>
      <c r="K153" s="59"/>
      <c r="L153" s="98"/>
      <c r="M153" s="61"/>
      <c r="N153" s="58"/>
      <c r="O153" s="58"/>
      <c r="P153" s="100"/>
      <c r="Q153" s="100"/>
      <c r="R153" s="101"/>
      <c r="S153" s="62"/>
      <c r="T153" s="73"/>
      <c r="U153" s="64"/>
      <c r="V153" s="65"/>
      <c r="W153" s="65"/>
      <c r="X153" s="75"/>
    </row>
    <row r="154" spans="1:24" s="56" customFormat="1" ht="15.75" customHeight="1">
      <c r="A154" s="71" t="s">
        <v>244</v>
      </c>
      <c r="B154" s="68" t="s">
        <v>58</v>
      </c>
      <c r="C154" s="58">
        <v>4</v>
      </c>
      <c r="D154" s="58">
        <v>2</v>
      </c>
      <c r="E154" s="58">
        <v>2</v>
      </c>
      <c r="F154" s="78" t="s">
        <v>208</v>
      </c>
      <c r="G154" s="58">
        <v>3</v>
      </c>
      <c r="H154" s="58">
        <v>1</v>
      </c>
      <c r="I154" s="58">
        <v>2</v>
      </c>
      <c r="J154" s="58">
        <v>1</v>
      </c>
      <c r="K154" s="59">
        <v>5</v>
      </c>
      <c r="L154" s="98"/>
      <c r="M154" s="68" t="s">
        <v>58</v>
      </c>
      <c r="N154" s="68" t="s">
        <v>58</v>
      </c>
      <c r="O154" s="58">
        <v>1</v>
      </c>
      <c r="P154" s="58" t="s">
        <v>58</v>
      </c>
      <c r="Q154" s="68" t="s">
        <v>58</v>
      </c>
      <c r="R154" s="58">
        <v>1</v>
      </c>
      <c r="S154" s="62" t="str">
        <f>VLOOKUP(T154,RWKavallerie,$AB$293,FALSE)</f>
        <v>5+</v>
      </c>
      <c r="T154" s="69">
        <f>VLOOKUP(Q154,RuestungKavallerie2,$AB$284,FALSE)+IF(R154=1,1,0)+IF(Q156="RH",1,0)</f>
        <v>2</v>
      </c>
      <c r="U154" s="64"/>
      <c r="V154" s="65"/>
      <c r="W154" s="65">
        <f>(IF(B154="-",0,B154)*(12+IF(Q154="L",2,0)))+IF(M154="-",0,M154*10)+IF(N154="-",0,N154*10)</f>
        <v>0</v>
      </c>
      <c r="X154" s="70" t="s">
        <v>301</v>
      </c>
    </row>
    <row r="155" spans="1:24" s="56" customFormat="1" ht="15.75" customHeight="1">
      <c r="A155" s="71" t="s">
        <v>245</v>
      </c>
      <c r="B155" s="68" t="s">
        <v>58</v>
      </c>
      <c r="C155" s="58">
        <v>4</v>
      </c>
      <c r="D155" s="58">
        <v>2</v>
      </c>
      <c r="E155" s="58">
        <v>2</v>
      </c>
      <c r="F155" s="78" t="s">
        <v>208</v>
      </c>
      <c r="G155" s="58">
        <v>3</v>
      </c>
      <c r="H155" s="58">
        <v>1</v>
      </c>
      <c r="I155" s="58">
        <v>2</v>
      </c>
      <c r="J155" s="58">
        <v>2</v>
      </c>
      <c r="K155" s="59">
        <v>5</v>
      </c>
      <c r="L155" s="98"/>
      <c r="M155" s="61"/>
      <c r="N155" s="58"/>
      <c r="O155" s="58">
        <v>1</v>
      </c>
      <c r="P155" s="58" t="str">
        <f>P154</f>
        <v>-</v>
      </c>
      <c r="Q155" s="58" t="str">
        <f>Q154</f>
        <v>-</v>
      </c>
      <c r="R155" s="59">
        <f>R154</f>
        <v>1</v>
      </c>
      <c r="S155" s="62" t="str">
        <f>VLOOKUP(T155,RWKavallerie,$AB$293,FALSE)</f>
        <v>5+</v>
      </c>
      <c r="T155" s="69">
        <f>VLOOKUP(Q155,RuestungKavallerie2,$AB$284,FALSE)+IF(R155=1,1,0)+IF(Q156="RH",1,0)</f>
        <v>2</v>
      </c>
      <c r="U155" s="64"/>
      <c r="V155" s="65"/>
      <c r="W155" s="65">
        <f>IF(B155="-",0,B155)*(22+IF(Q155=1,1,0))</f>
        <v>0</v>
      </c>
      <c r="X155" s="145" t="s">
        <v>302</v>
      </c>
    </row>
    <row r="156" spans="1:24" s="56" customFormat="1" ht="15.75" customHeight="1">
      <c r="A156" s="71" t="s">
        <v>243</v>
      </c>
      <c r="B156" s="100" t="str">
        <f>IF(B155="-",B154,B154+B155)</f>
        <v>-</v>
      </c>
      <c r="C156" s="58">
        <v>8</v>
      </c>
      <c r="D156" s="58">
        <v>2</v>
      </c>
      <c r="E156" s="58">
        <v>0</v>
      </c>
      <c r="F156" s="58">
        <v>3</v>
      </c>
      <c r="G156" s="58">
        <v>3</v>
      </c>
      <c r="H156" s="58">
        <v>1</v>
      </c>
      <c r="I156" s="58">
        <v>2</v>
      </c>
      <c r="J156" s="58">
        <v>1</v>
      </c>
      <c r="K156" s="59">
        <v>5</v>
      </c>
      <c r="L156" s="60"/>
      <c r="M156" s="61"/>
      <c r="N156" s="58"/>
      <c r="O156" s="58"/>
      <c r="P156" s="58"/>
      <c r="Q156" s="58"/>
      <c r="R156" s="101"/>
      <c r="S156" s="62"/>
      <c r="T156" s="69">
        <f>VLOOKUP(Q154,RuestungKavallerie2,$AB$284,FALSE)+IF(R154=1,1,0)+IF(Q156="RH",1,0)</f>
        <v>2</v>
      </c>
      <c r="U156" s="64"/>
      <c r="V156" s="65"/>
      <c r="W156" s="65"/>
      <c r="X156" s="145"/>
    </row>
    <row r="157" spans="1:24" s="56" customFormat="1" ht="15.75" customHeight="1">
      <c r="A157" s="71"/>
      <c r="B157" s="58"/>
      <c r="C157" s="58"/>
      <c r="D157" s="58"/>
      <c r="E157" s="58"/>
      <c r="F157" s="58"/>
      <c r="G157" s="58"/>
      <c r="H157" s="58"/>
      <c r="I157" s="58"/>
      <c r="J157" s="58"/>
      <c r="K157" s="59"/>
      <c r="L157" s="98"/>
      <c r="M157" s="61"/>
      <c r="N157" s="58"/>
      <c r="O157" s="58"/>
      <c r="P157" s="100"/>
      <c r="Q157" s="100"/>
      <c r="R157" s="101"/>
      <c r="S157" s="62"/>
      <c r="T157" s="73"/>
      <c r="U157" s="64"/>
      <c r="V157" s="65"/>
      <c r="W157" s="65"/>
      <c r="X157" s="75"/>
    </row>
    <row r="158" spans="1:24" s="56" customFormat="1" ht="15.75" customHeight="1">
      <c r="A158" s="71"/>
      <c r="B158" s="58"/>
      <c r="C158" s="58"/>
      <c r="D158" s="58"/>
      <c r="E158" s="58"/>
      <c r="F158" s="58"/>
      <c r="G158" s="58"/>
      <c r="H158" s="58"/>
      <c r="I158" s="58"/>
      <c r="J158" s="58"/>
      <c r="K158" s="59"/>
      <c r="L158" s="98"/>
      <c r="M158" s="61"/>
      <c r="N158" s="58"/>
      <c r="O158" s="58"/>
      <c r="P158" s="100"/>
      <c r="Q158" s="58"/>
      <c r="R158" s="101"/>
      <c r="S158" s="62"/>
      <c r="T158" s="73"/>
      <c r="U158" s="64"/>
      <c r="V158" s="65"/>
      <c r="W158" s="65"/>
      <c r="X158" s="77"/>
    </row>
    <row r="159" spans="1:24" s="56" customFormat="1" ht="15.75" customHeight="1">
      <c r="A159" s="67" t="s">
        <v>241</v>
      </c>
      <c r="B159" s="68" t="s">
        <v>58</v>
      </c>
      <c r="C159" s="58">
        <v>4</v>
      </c>
      <c r="D159" s="58">
        <v>2</v>
      </c>
      <c r="E159" s="58">
        <v>2</v>
      </c>
      <c r="F159" s="58">
        <v>3</v>
      </c>
      <c r="G159" s="58">
        <v>3</v>
      </c>
      <c r="H159" s="58">
        <v>1</v>
      </c>
      <c r="I159" s="58">
        <v>2</v>
      </c>
      <c r="J159" s="58">
        <v>1</v>
      </c>
      <c r="K159" s="59">
        <v>5</v>
      </c>
      <c r="L159" s="98"/>
      <c r="M159" s="68" t="s">
        <v>58</v>
      </c>
      <c r="N159" s="68" t="s">
        <v>58</v>
      </c>
      <c r="O159" s="58">
        <v>1</v>
      </c>
      <c r="P159" s="58" t="s">
        <v>58</v>
      </c>
      <c r="Q159" s="58" t="s">
        <v>58</v>
      </c>
      <c r="R159" s="58" t="s">
        <v>58</v>
      </c>
      <c r="S159" s="62" t="str">
        <f>VLOOKUP(T159,RWKavallerie,$AB$293,FALSE)</f>
        <v>6+</v>
      </c>
      <c r="T159" s="69">
        <f>VLOOKUP(Q159,RuestungKavallerie2,$AB$284,FALSE)+IF(R159=1,1,0)+IF(Q161="RH",1,0)</f>
        <v>1</v>
      </c>
      <c r="U159" s="64"/>
      <c r="V159" s="65"/>
      <c r="W159" s="65">
        <f>(IF(B159="-",0,B159)*(14))+IF(M159="-",0,M159*10)+IF(N159="-",0,N159*10)</f>
        <v>0</v>
      </c>
      <c r="X159" s="137" t="s">
        <v>256</v>
      </c>
    </row>
    <row r="160" spans="1:24" s="56" customFormat="1" ht="15.75" customHeight="1">
      <c r="A160" s="71" t="s">
        <v>242</v>
      </c>
      <c r="B160" s="68" t="s">
        <v>58</v>
      </c>
      <c r="C160" s="58">
        <v>4</v>
      </c>
      <c r="D160" s="58">
        <v>2</v>
      </c>
      <c r="E160" s="58">
        <v>3</v>
      </c>
      <c r="F160" s="58">
        <v>3</v>
      </c>
      <c r="G160" s="58">
        <v>3</v>
      </c>
      <c r="H160" s="58">
        <v>1</v>
      </c>
      <c r="I160" s="58">
        <v>2</v>
      </c>
      <c r="J160" s="58">
        <v>1</v>
      </c>
      <c r="K160" s="59">
        <v>5</v>
      </c>
      <c r="L160" s="98"/>
      <c r="M160" s="61"/>
      <c r="N160" s="58"/>
      <c r="O160" s="58">
        <v>1</v>
      </c>
      <c r="P160" s="58" t="str">
        <f>P159</f>
        <v>-</v>
      </c>
      <c r="Q160" s="58" t="str">
        <f>Q159</f>
        <v>-</v>
      </c>
      <c r="R160" s="59" t="str">
        <f>R159</f>
        <v>-</v>
      </c>
      <c r="S160" s="62" t="str">
        <f>VLOOKUP(T160,RWKavallerie,$AB$293,FALSE)</f>
        <v>6+</v>
      </c>
      <c r="T160" s="69">
        <f>VLOOKUP(Q160,RuestungKavallerie2,$AB$284,FALSE)+IF(R160=1,1,0)+IF(Q161="RH",1,0)</f>
        <v>1</v>
      </c>
      <c r="U160" s="64"/>
      <c r="V160" s="65"/>
      <c r="W160" s="65">
        <f>IF(B160="-",0,B160)*(24)</f>
        <v>0</v>
      </c>
      <c r="X160" s="145" t="s">
        <v>291</v>
      </c>
    </row>
    <row r="161" spans="1:24" s="56" customFormat="1" ht="15.75" customHeight="1">
      <c r="A161" s="71" t="s">
        <v>243</v>
      </c>
      <c r="B161" s="100" t="str">
        <f>IF(B160="-",B159,B159+B160)</f>
        <v>-</v>
      </c>
      <c r="C161" s="58">
        <v>8</v>
      </c>
      <c r="D161" s="58">
        <v>2</v>
      </c>
      <c r="E161" s="58">
        <v>0</v>
      </c>
      <c r="F161" s="58">
        <v>3</v>
      </c>
      <c r="G161" s="58">
        <v>3</v>
      </c>
      <c r="H161" s="58">
        <v>1</v>
      </c>
      <c r="I161" s="58">
        <v>2</v>
      </c>
      <c r="J161" s="58">
        <v>1</v>
      </c>
      <c r="K161" s="59">
        <v>5</v>
      </c>
      <c r="L161" s="60"/>
      <c r="M161" s="61"/>
      <c r="N161" s="58"/>
      <c r="O161" s="58"/>
      <c r="P161" s="58"/>
      <c r="Q161" s="58"/>
      <c r="R161" s="101"/>
      <c r="S161" s="62"/>
      <c r="T161" s="69">
        <f>VLOOKUP(Q159,RuestungKavallerie2,$AB$284,FALSE)+IF(R159=1,1,0)+IF(Q161="RH",1,0)</f>
        <v>1</v>
      </c>
      <c r="U161" s="64"/>
      <c r="V161" s="65"/>
      <c r="W161" s="65"/>
      <c r="X161" s="75" t="s">
        <v>173</v>
      </c>
    </row>
    <row r="162" spans="1:24" s="56" customFormat="1" ht="15.75" customHeight="1">
      <c r="A162" s="67"/>
      <c r="B162" s="58"/>
      <c r="C162" s="58"/>
      <c r="D162" s="58"/>
      <c r="E162" s="58"/>
      <c r="F162" s="58"/>
      <c r="G162" s="58"/>
      <c r="H162" s="58"/>
      <c r="I162" s="58"/>
      <c r="J162" s="58"/>
      <c r="K162" s="59"/>
      <c r="L162" s="98"/>
      <c r="M162" s="61"/>
      <c r="N162" s="58"/>
      <c r="O162" s="58"/>
      <c r="P162" s="100"/>
      <c r="Q162" s="58"/>
      <c r="R162" s="101"/>
      <c r="S162" s="62"/>
      <c r="T162" s="73"/>
      <c r="U162" s="64"/>
      <c r="V162" s="65"/>
      <c r="W162" s="65"/>
      <c r="X162" s="77"/>
    </row>
    <row r="163" spans="1:24" s="56" customFormat="1" ht="15.75" customHeight="1">
      <c r="A163" s="67"/>
      <c r="B163" s="58"/>
      <c r="C163" s="58"/>
      <c r="D163" s="58"/>
      <c r="E163" s="58"/>
      <c r="F163" s="58"/>
      <c r="G163" s="58"/>
      <c r="H163" s="58"/>
      <c r="I163" s="58"/>
      <c r="J163" s="58"/>
      <c r="K163" s="59"/>
      <c r="L163" s="98"/>
      <c r="M163" s="61"/>
      <c r="N163" s="58"/>
      <c r="O163" s="58"/>
      <c r="P163" s="100"/>
      <c r="Q163" s="58"/>
      <c r="R163" s="101"/>
      <c r="S163" s="62"/>
      <c r="T163" s="73"/>
      <c r="U163" s="64"/>
      <c r="V163" s="65"/>
      <c r="W163" s="65"/>
      <c r="X163" s="77"/>
    </row>
    <row r="164" spans="1:24" s="56" customFormat="1" ht="15.75" customHeight="1">
      <c r="A164" s="67" t="s">
        <v>317</v>
      </c>
      <c r="B164" s="164" t="s">
        <v>58</v>
      </c>
      <c r="C164" s="58" t="s">
        <v>58</v>
      </c>
      <c r="D164" s="58" t="s">
        <v>58</v>
      </c>
      <c r="E164" s="58" t="s">
        <v>58</v>
      </c>
      <c r="F164" s="58">
        <v>4</v>
      </c>
      <c r="G164" s="58">
        <v>4</v>
      </c>
      <c r="H164" s="58">
        <v>3</v>
      </c>
      <c r="I164" s="58" t="s">
        <v>58</v>
      </c>
      <c r="J164" s="58" t="s">
        <v>58</v>
      </c>
      <c r="K164" s="58" t="s">
        <v>58</v>
      </c>
      <c r="L164" s="98"/>
      <c r="M164" s="68" t="s">
        <v>58</v>
      </c>
      <c r="N164" s="68" t="s">
        <v>58</v>
      </c>
      <c r="O164" s="58" t="s">
        <v>58</v>
      </c>
      <c r="P164" s="58" t="s">
        <v>58</v>
      </c>
      <c r="Q164" s="58" t="s">
        <v>58</v>
      </c>
      <c r="R164" s="58" t="s">
        <v>58</v>
      </c>
      <c r="S164" s="62" t="s">
        <v>207</v>
      </c>
      <c r="T164" s="69"/>
      <c r="U164" s="64"/>
      <c r="V164" s="164" t="s">
        <v>58</v>
      </c>
      <c r="W164" s="65">
        <f>(IF(B164="-",0,B164)*(55))+IF(M164="-",0,M164*10)+IF(N164="-",0,N164*10)+IF(V164="-",0,V164)</f>
        <v>0</v>
      </c>
      <c r="X164" s="137" t="s">
        <v>252</v>
      </c>
    </row>
    <row r="165" spans="1:24" s="56" customFormat="1" ht="15.75" customHeight="1">
      <c r="A165" s="71" t="s">
        <v>318</v>
      </c>
      <c r="B165" s="100" t="str">
        <f>IF(B164="-","-",(B164*2)+IF(B166="-",0,B166))</f>
        <v>-</v>
      </c>
      <c r="C165" s="58" t="s">
        <v>58</v>
      </c>
      <c r="D165" s="58">
        <v>3</v>
      </c>
      <c r="E165" s="58">
        <v>2</v>
      </c>
      <c r="F165" s="78" t="s">
        <v>208</v>
      </c>
      <c r="G165" s="58" t="s">
        <v>58</v>
      </c>
      <c r="H165" s="58" t="s">
        <v>58</v>
      </c>
      <c r="I165" s="58">
        <v>2</v>
      </c>
      <c r="J165" s="58">
        <v>2</v>
      </c>
      <c r="K165" s="59">
        <v>7</v>
      </c>
      <c r="L165" s="98"/>
      <c r="M165" s="61"/>
      <c r="N165" s="58"/>
      <c r="O165" s="58">
        <v>1</v>
      </c>
      <c r="P165" s="58" t="s">
        <v>58</v>
      </c>
      <c r="Q165" s="58" t="s">
        <v>58</v>
      </c>
      <c r="R165" s="59" t="str">
        <f>R164</f>
        <v>-</v>
      </c>
      <c r="S165" s="62" t="s">
        <v>207</v>
      </c>
      <c r="T165" s="69"/>
      <c r="U165" s="64"/>
      <c r="V165" s="65"/>
      <c r="W165" s="65"/>
      <c r="X165" s="85" t="s">
        <v>253</v>
      </c>
    </row>
    <row r="166" spans="1:24" s="56" customFormat="1" ht="15.75" customHeight="1">
      <c r="A166" s="71" t="s">
        <v>320</v>
      </c>
      <c r="B166" s="68" t="s">
        <v>58</v>
      </c>
      <c r="C166" s="58" t="s">
        <v>58</v>
      </c>
      <c r="D166" s="58">
        <v>3</v>
      </c>
      <c r="E166" s="58">
        <v>2</v>
      </c>
      <c r="F166" s="78" t="s">
        <v>208</v>
      </c>
      <c r="G166" s="58" t="s">
        <v>58</v>
      </c>
      <c r="H166" s="58" t="s">
        <v>58</v>
      </c>
      <c r="I166" s="58">
        <v>2</v>
      </c>
      <c r="J166" s="58">
        <v>2</v>
      </c>
      <c r="K166" s="59">
        <v>7</v>
      </c>
      <c r="L166" s="98"/>
      <c r="M166" s="61"/>
      <c r="N166" s="58"/>
      <c r="O166" s="58">
        <v>1</v>
      </c>
      <c r="P166" s="58" t="s">
        <v>58</v>
      </c>
      <c r="Q166" s="58" t="s">
        <v>58</v>
      </c>
      <c r="R166" s="59" t="str">
        <f>R165</f>
        <v>-</v>
      </c>
      <c r="S166" s="62" t="s">
        <v>207</v>
      </c>
      <c r="T166" s="102"/>
      <c r="U166" s="64"/>
      <c r="V166" s="65"/>
      <c r="W166" s="65">
        <f>(IF(B166="-",0,B166)*(65))</f>
        <v>0</v>
      </c>
      <c r="X166" s="75" t="s">
        <v>173</v>
      </c>
    </row>
    <row r="167" spans="1:24" s="56" customFormat="1" ht="15.75" customHeight="1">
      <c r="A167" s="71" t="s">
        <v>319</v>
      </c>
      <c r="B167" s="100" t="e">
        <f>IF(B164="-","-",B164*2)+IF(B166="-",0,B166*2)</f>
        <v>#VALUE!</v>
      </c>
      <c r="C167" s="58">
        <v>8</v>
      </c>
      <c r="D167" s="58">
        <v>2</v>
      </c>
      <c r="E167" s="58" t="s">
        <v>58</v>
      </c>
      <c r="F167" s="58">
        <v>3</v>
      </c>
      <c r="G167" s="58" t="s">
        <v>58</v>
      </c>
      <c r="H167" s="58" t="s">
        <v>58</v>
      </c>
      <c r="I167" s="58">
        <v>2</v>
      </c>
      <c r="J167" s="58">
        <v>1</v>
      </c>
      <c r="K167" s="58" t="s">
        <v>58</v>
      </c>
      <c r="L167" s="98"/>
      <c r="M167" s="61"/>
      <c r="N167" s="58"/>
      <c r="O167" s="58">
        <v>1</v>
      </c>
      <c r="P167" s="58" t="s">
        <v>58</v>
      </c>
      <c r="Q167" s="58" t="s">
        <v>58</v>
      </c>
      <c r="R167" s="59" t="str">
        <f>R166</f>
        <v>-</v>
      </c>
      <c r="S167" s="62"/>
      <c r="T167" s="43"/>
      <c r="U167" s="64"/>
      <c r="V167" s="65"/>
      <c r="W167" s="65"/>
      <c r="X167" s="137" t="s">
        <v>254</v>
      </c>
    </row>
    <row r="168" spans="1:24" s="56" customFormat="1" ht="15.75" customHeight="1">
      <c r="A168" s="67"/>
      <c r="B168" s="100"/>
      <c r="C168" s="58"/>
      <c r="D168" s="58"/>
      <c r="E168" s="58"/>
      <c r="F168" s="58"/>
      <c r="G168" s="58"/>
      <c r="H168" s="58"/>
      <c r="I168" s="58"/>
      <c r="J168" s="58"/>
      <c r="K168" s="59"/>
      <c r="L168" s="98"/>
      <c r="M168" s="61"/>
      <c r="N168" s="58"/>
      <c r="O168" s="59"/>
      <c r="P168" s="59"/>
      <c r="Q168" s="58"/>
      <c r="R168" s="59"/>
      <c r="S168" s="62"/>
      <c r="T168" s="43"/>
      <c r="U168" s="64"/>
      <c r="V168" s="65"/>
      <c r="W168" s="65"/>
      <c r="X168" s="137" t="s">
        <v>255</v>
      </c>
    </row>
    <row r="169" spans="1:24" s="56" customFormat="1" ht="15.75" customHeight="1">
      <c r="A169" s="67"/>
      <c r="B169" s="58"/>
      <c r="C169" s="58"/>
      <c r="D169" s="58"/>
      <c r="E169" s="58"/>
      <c r="F169" s="58"/>
      <c r="G169" s="58"/>
      <c r="H169" s="58"/>
      <c r="I169" s="58"/>
      <c r="J169" s="58"/>
      <c r="K169" s="59"/>
      <c r="L169" s="98"/>
      <c r="M169" s="61"/>
      <c r="N169" s="58"/>
      <c r="O169" s="58"/>
      <c r="P169" s="100"/>
      <c r="Q169" s="58"/>
      <c r="R169" s="101"/>
      <c r="S169" s="62"/>
      <c r="T169" s="73"/>
      <c r="U169" s="64"/>
      <c r="V169" s="65"/>
      <c r="W169" s="65"/>
      <c r="X169" s="95"/>
    </row>
    <row r="170" spans="1:24" s="56" customFormat="1" ht="15.75" customHeight="1">
      <c r="A170" s="67"/>
      <c r="B170" s="58"/>
      <c r="C170" s="58"/>
      <c r="D170" s="58"/>
      <c r="E170" s="58"/>
      <c r="F170" s="58"/>
      <c r="G170" s="58"/>
      <c r="H170" s="58"/>
      <c r="I170" s="58"/>
      <c r="J170" s="58"/>
      <c r="K170" s="59"/>
      <c r="L170" s="98"/>
      <c r="M170" s="61"/>
      <c r="N170" s="58"/>
      <c r="O170" s="58"/>
      <c r="P170" s="58"/>
      <c r="Q170" s="58"/>
      <c r="R170" s="59"/>
      <c r="S170" s="62"/>
      <c r="T170" s="73"/>
      <c r="U170" s="64"/>
      <c r="V170" s="65"/>
      <c r="W170" s="65"/>
      <c r="X170" s="95"/>
    </row>
    <row r="171" spans="1:26" s="56" customFormat="1" ht="24.75" customHeight="1">
      <c r="A171" s="157" t="s">
        <v>285</v>
      </c>
      <c r="B171" s="158" t="s">
        <v>265</v>
      </c>
      <c r="C171" s="159" t="s">
        <v>261</v>
      </c>
      <c r="D171" s="159" t="s">
        <v>139</v>
      </c>
      <c r="E171" s="159" t="s">
        <v>140</v>
      </c>
      <c r="F171" s="159" t="s">
        <v>38</v>
      </c>
      <c r="G171" s="159" t="s">
        <v>262</v>
      </c>
      <c r="H171" s="159" t="s">
        <v>141</v>
      </c>
      <c r="I171" s="159" t="s">
        <v>280</v>
      </c>
      <c r="J171" s="159" t="s">
        <v>281</v>
      </c>
      <c r="K171" s="159" t="s">
        <v>282</v>
      </c>
      <c r="L171" s="160"/>
      <c r="M171" s="159" t="s">
        <v>237</v>
      </c>
      <c r="N171" s="159" t="s">
        <v>238</v>
      </c>
      <c r="O171" s="159" t="s">
        <v>63</v>
      </c>
      <c r="P171" s="159" t="s">
        <v>135</v>
      </c>
      <c r="Q171" s="159" t="s">
        <v>136</v>
      </c>
      <c r="R171" s="159" t="s">
        <v>138</v>
      </c>
      <c r="S171" s="161" t="s">
        <v>149</v>
      </c>
      <c r="T171" s="159"/>
      <c r="U171" s="162" t="s">
        <v>137</v>
      </c>
      <c r="V171" s="30" t="s">
        <v>199</v>
      </c>
      <c r="W171" s="163" t="s">
        <v>289</v>
      </c>
      <c r="X171" s="162" t="s">
        <v>230</v>
      </c>
      <c r="Y171" s="54" t="s">
        <v>130</v>
      </c>
      <c r="Z171" s="55">
        <f>SUM(W172:W229)</f>
        <v>0</v>
      </c>
    </row>
    <row r="172" spans="1:24" s="56" customFormat="1" ht="15.75" customHeight="1">
      <c r="A172" s="57"/>
      <c r="B172" s="58"/>
      <c r="C172" s="58"/>
      <c r="D172" s="58"/>
      <c r="E172" s="58"/>
      <c r="F172" s="58"/>
      <c r="G172" s="58"/>
      <c r="H172" s="58"/>
      <c r="I172" s="58"/>
      <c r="J172" s="58"/>
      <c r="K172" s="59"/>
      <c r="L172" s="98"/>
      <c r="M172" s="61"/>
      <c r="N172" s="58"/>
      <c r="O172" s="58"/>
      <c r="P172" s="58"/>
      <c r="Q172" s="58"/>
      <c r="R172" s="59"/>
      <c r="S172" s="62"/>
      <c r="T172" s="43"/>
      <c r="U172" s="64"/>
      <c r="V172" s="65"/>
      <c r="W172" s="65"/>
      <c r="X172" s="75"/>
    </row>
    <row r="173" spans="1:24" s="56" customFormat="1" ht="15.75" customHeight="1">
      <c r="A173" s="71" t="s">
        <v>162</v>
      </c>
      <c r="B173" s="68" t="s">
        <v>58</v>
      </c>
      <c r="C173" s="58">
        <v>4</v>
      </c>
      <c r="D173" s="58">
        <v>3</v>
      </c>
      <c r="E173" s="58">
        <v>3</v>
      </c>
      <c r="F173" s="78" t="s">
        <v>220</v>
      </c>
      <c r="G173" s="58">
        <v>4</v>
      </c>
      <c r="H173" s="58">
        <v>1</v>
      </c>
      <c r="I173" s="58">
        <v>3</v>
      </c>
      <c r="J173" s="58">
        <v>1</v>
      </c>
      <c r="K173" s="59">
        <v>8</v>
      </c>
      <c r="L173" s="98"/>
      <c r="M173" s="68" t="s">
        <v>58</v>
      </c>
      <c r="N173" s="68" t="s">
        <v>58</v>
      </c>
      <c r="O173" s="58">
        <v>1</v>
      </c>
      <c r="P173" s="58" t="s">
        <v>58</v>
      </c>
      <c r="Q173" s="100" t="s">
        <v>204</v>
      </c>
      <c r="R173" s="100">
        <v>1</v>
      </c>
      <c r="S173" s="62" t="str">
        <f>VLOOKUP(T173,RW,$Z$293,FALSE)</f>
        <v>5+</v>
      </c>
      <c r="T173" s="69">
        <f>VLOOKUP(Q173,Ruestung,$Z$284,FALSE)+IF(R173=1,1,0)</f>
        <v>2</v>
      </c>
      <c r="U173" s="64"/>
      <c r="V173" s="164" t="s">
        <v>58</v>
      </c>
      <c r="W173" s="65">
        <f>(IF(B173="-",0,B173)*(11+VLOOKUP(X174,Waffe,$AB$329,FALSE)))+IF(M173="-",0,M173*10)+IF(N173="-",0,N173*10)+IF(V173="-",0,V173)</f>
        <v>0</v>
      </c>
      <c r="X173" s="70" t="s">
        <v>111</v>
      </c>
    </row>
    <row r="174" spans="1:24" s="56" customFormat="1" ht="15.75" customHeight="1">
      <c r="A174" s="71" t="s">
        <v>163</v>
      </c>
      <c r="B174" s="68" t="s">
        <v>58</v>
      </c>
      <c r="C174" s="58">
        <v>4</v>
      </c>
      <c r="D174" s="58">
        <v>3</v>
      </c>
      <c r="E174" s="58">
        <v>3</v>
      </c>
      <c r="F174" s="78" t="s">
        <v>220</v>
      </c>
      <c r="G174" s="58">
        <v>4</v>
      </c>
      <c r="H174" s="58">
        <v>1</v>
      </c>
      <c r="I174" s="58">
        <v>3</v>
      </c>
      <c r="J174" s="58">
        <v>2</v>
      </c>
      <c r="K174" s="59">
        <v>8</v>
      </c>
      <c r="L174" s="98"/>
      <c r="M174" s="61"/>
      <c r="N174" s="58"/>
      <c r="O174" s="58">
        <f>O173</f>
        <v>1</v>
      </c>
      <c r="P174" s="58" t="str">
        <f>P173</f>
        <v>-</v>
      </c>
      <c r="Q174" s="100" t="str">
        <f>Q173</f>
        <v>L</v>
      </c>
      <c r="R174" s="100">
        <f>R173</f>
        <v>1</v>
      </c>
      <c r="S174" s="62" t="str">
        <f>VLOOKUP(T174,RW,$Z$293,FALSE)</f>
        <v>5+</v>
      </c>
      <c r="T174" s="69">
        <f>VLOOKUP(Q174,Ruestung,$Z$284,FALSE)+IF(R174=1,1,0)</f>
        <v>2</v>
      </c>
      <c r="U174" s="64"/>
      <c r="V174" s="65"/>
      <c r="W174" s="65">
        <f>IF(B174="-",0,B174)*(21+VLOOKUP(X174,Waffe,$AB$329,FALSE))</f>
        <v>0</v>
      </c>
      <c r="X174" s="105" t="s">
        <v>330</v>
      </c>
    </row>
    <row r="175" spans="1:24" s="56" customFormat="1" ht="15.75" customHeight="1">
      <c r="A175" s="71"/>
      <c r="B175" s="58"/>
      <c r="C175" s="58"/>
      <c r="D175" s="58"/>
      <c r="E175" s="58"/>
      <c r="F175" s="78"/>
      <c r="G175" s="58"/>
      <c r="H175" s="58"/>
      <c r="I175" s="58"/>
      <c r="J175" s="58"/>
      <c r="K175" s="59"/>
      <c r="L175" s="98"/>
      <c r="M175" s="61"/>
      <c r="N175" s="58"/>
      <c r="O175" s="58"/>
      <c r="P175" s="100"/>
      <c r="Q175" s="100"/>
      <c r="R175" s="101"/>
      <c r="S175" s="62"/>
      <c r="T175" s="102"/>
      <c r="U175" s="64"/>
      <c r="V175" s="65"/>
      <c r="W175" s="65"/>
      <c r="X175" s="95" t="s">
        <v>266</v>
      </c>
    </row>
    <row r="176" spans="1:24" s="56" customFormat="1" ht="15.75" customHeight="1">
      <c r="A176" s="71"/>
      <c r="B176" s="58"/>
      <c r="C176" s="58"/>
      <c r="D176" s="58"/>
      <c r="E176" s="58"/>
      <c r="F176" s="78"/>
      <c r="G176" s="58"/>
      <c r="H176" s="58"/>
      <c r="I176" s="58"/>
      <c r="J176" s="58"/>
      <c r="K176" s="59"/>
      <c r="L176" s="98"/>
      <c r="M176" s="61"/>
      <c r="N176" s="58"/>
      <c r="O176" s="58"/>
      <c r="P176" s="100"/>
      <c r="Q176" s="100"/>
      <c r="R176" s="101"/>
      <c r="S176" s="62"/>
      <c r="T176" s="102"/>
      <c r="U176" s="64"/>
      <c r="V176" s="65"/>
      <c r="W176" s="65"/>
      <c r="X176" s="75"/>
    </row>
    <row r="177" spans="1:24" s="56" customFormat="1" ht="15.75" customHeight="1">
      <c r="A177" s="57"/>
      <c r="B177" s="58"/>
      <c r="C177" s="58"/>
      <c r="D177" s="58"/>
      <c r="E177" s="58"/>
      <c r="F177" s="58"/>
      <c r="G177" s="58"/>
      <c r="H177" s="58"/>
      <c r="I177" s="58"/>
      <c r="J177" s="58"/>
      <c r="K177" s="59"/>
      <c r="L177" s="98"/>
      <c r="M177" s="61"/>
      <c r="N177" s="58"/>
      <c r="O177" s="58"/>
      <c r="P177" s="100"/>
      <c r="Q177" s="100"/>
      <c r="R177" s="101"/>
      <c r="S177" s="62"/>
      <c r="T177" s="102"/>
      <c r="U177" s="64"/>
      <c r="V177" s="65"/>
      <c r="W177" s="65"/>
      <c r="X177" s="75"/>
    </row>
    <row r="178" spans="1:24" s="56" customFormat="1" ht="15.75" customHeight="1">
      <c r="A178" s="71" t="s">
        <v>164</v>
      </c>
      <c r="B178" s="164" t="s">
        <v>58</v>
      </c>
      <c r="C178" s="58">
        <v>5</v>
      </c>
      <c r="D178" s="58">
        <v>4</v>
      </c>
      <c r="E178" s="58">
        <v>2</v>
      </c>
      <c r="F178" s="78" t="s">
        <v>153</v>
      </c>
      <c r="G178" s="58">
        <v>4</v>
      </c>
      <c r="H178" s="58">
        <v>3</v>
      </c>
      <c r="I178" s="58">
        <v>3</v>
      </c>
      <c r="J178" s="58">
        <v>3</v>
      </c>
      <c r="K178" s="59">
        <v>8</v>
      </c>
      <c r="L178" s="98"/>
      <c r="M178" s="68" t="s">
        <v>58</v>
      </c>
      <c r="N178" s="68" t="s">
        <v>58</v>
      </c>
      <c r="O178" s="68">
        <v>1</v>
      </c>
      <c r="P178" s="58">
        <f>IF(O178=2,"-",IF(X180="Großbögen (30 Zoll,S=6, Salvenfeuer)","-",1))</f>
        <v>1</v>
      </c>
      <c r="Q178" s="58" t="s">
        <v>58</v>
      </c>
      <c r="R178" s="58" t="s">
        <v>58</v>
      </c>
      <c r="S178" s="62" t="s">
        <v>207</v>
      </c>
      <c r="T178" s="69"/>
      <c r="U178" s="64"/>
      <c r="V178" s="65"/>
      <c r="W178" s="65">
        <f>(IF(B178="-",0,B178)*(50+IF(O178=2,0,0)))+IF(M178="-",0,M178*10)+IF(N178="-",0,N178*10)</f>
        <v>0</v>
      </c>
      <c r="X178" s="70" t="s">
        <v>332</v>
      </c>
    </row>
    <row r="179" spans="1:24" s="56" customFormat="1" ht="15.75" customHeight="1">
      <c r="A179" s="71" t="s">
        <v>165</v>
      </c>
      <c r="B179" s="68" t="s">
        <v>58</v>
      </c>
      <c r="C179" s="58">
        <v>5</v>
      </c>
      <c r="D179" s="58">
        <v>4</v>
      </c>
      <c r="E179" s="58">
        <v>2</v>
      </c>
      <c r="F179" s="78" t="s">
        <v>153</v>
      </c>
      <c r="G179" s="58">
        <v>4</v>
      </c>
      <c r="H179" s="58">
        <v>3</v>
      </c>
      <c r="I179" s="58">
        <v>3</v>
      </c>
      <c r="J179" s="58">
        <v>4</v>
      </c>
      <c r="K179" s="59">
        <v>8</v>
      </c>
      <c r="L179" s="98"/>
      <c r="M179" s="61"/>
      <c r="N179" s="58"/>
      <c r="O179" s="58">
        <f>O178</f>
        <v>1</v>
      </c>
      <c r="P179" s="58">
        <f>P178</f>
        <v>1</v>
      </c>
      <c r="Q179" s="58" t="str">
        <f>Q178</f>
        <v>-</v>
      </c>
      <c r="R179" s="59" t="str">
        <f>R178</f>
        <v>-</v>
      </c>
      <c r="S179" s="62" t="s">
        <v>207</v>
      </c>
      <c r="T179" s="69"/>
      <c r="U179" s="64"/>
      <c r="V179" s="65"/>
      <c r="W179" s="65">
        <f>IF(B179="-",0,B179)*(60+IF(O178=2,0,0))</f>
        <v>0</v>
      </c>
      <c r="X179" s="75" t="s">
        <v>173</v>
      </c>
    </row>
    <row r="180" spans="1:24" s="56" customFormat="1" ht="15.75" customHeight="1">
      <c r="A180" s="71"/>
      <c r="B180" s="58"/>
      <c r="C180" s="58"/>
      <c r="D180" s="58"/>
      <c r="E180" s="58"/>
      <c r="F180" s="58"/>
      <c r="G180" s="58"/>
      <c r="H180" s="58"/>
      <c r="I180" s="58"/>
      <c r="J180" s="58"/>
      <c r="K180" s="59"/>
      <c r="L180" s="98"/>
      <c r="M180" s="61"/>
      <c r="N180" s="58"/>
      <c r="O180" s="58"/>
      <c r="P180" s="58"/>
      <c r="Q180" s="58"/>
      <c r="R180" s="59"/>
      <c r="S180" s="62"/>
      <c r="T180" s="69"/>
      <c r="U180" s="64"/>
      <c r="V180" s="65"/>
      <c r="W180" s="65"/>
      <c r="X180" s="105" t="s">
        <v>87</v>
      </c>
    </row>
    <row r="181" spans="1:24" s="56" customFormat="1" ht="15.75" customHeight="1">
      <c r="A181" s="71"/>
      <c r="B181" s="58"/>
      <c r="C181" s="58"/>
      <c r="D181" s="58"/>
      <c r="E181" s="58"/>
      <c r="F181" s="58"/>
      <c r="G181" s="58"/>
      <c r="H181" s="58"/>
      <c r="I181" s="58"/>
      <c r="J181" s="58"/>
      <c r="K181" s="59"/>
      <c r="L181" s="98"/>
      <c r="M181" s="61"/>
      <c r="N181" s="58"/>
      <c r="O181" s="58"/>
      <c r="P181" s="58"/>
      <c r="Q181" s="58"/>
      <c r="R181" s="59"/>
      <c r="S181" s="62"/>
      <c r="T181" s="102"/>
      <c r="U181" s="64"/>
      <c r="V181" s="65"/>
      <c r="W181" s="65"/>
      <c r="X181" s="70" t="s">
        <v>267</v>
      </c>
    </row>
    <row r="182" spans="1:24" s="56" customFormat="1" ht="15.75" customHeight="1">
      <c r="A182" s="71"/>
      <c r="B182" s="58"/>
      <c r="C182" s="58"/>
      <c r="D182" s="58"/>
      <c r="E182" s="58"/>
      <c r="F182" s="58"/>
      <c r="G182" s="58"/>
      <c r="H182" s="58"/>
      <c r="I182" s="58"/>
      <c r="J182" s="58"/>
      <c r="K182" s="59"/>
      <c r="L182" s="98"/>
      <c r="M182" s="61"/>
      <c r="N182" s="58"/>
      <c r="O182" s="58"/>
      <c r="P182" s="58"/>
      <c r="Q182" s="58"/>
      <c r="R182" s="59"/>
      <c r="S182" s="62"/>
      <c r="T182" s="102"/>
      <c r="U182" s="64"/>
      <c r="V182" s="65"/>
      <c r="W182" s="65"/>
      <c r="X182" s="75"/>
    </row>
    <row r="183" spans="1:24" s="56" customFormat="1" ht="15.75" customHeight="1">
      <c r="A183" s="71"/>
      <c r="B183" s="58"/>
      <c r="C183" s="58"/>
      <c r="D183" s="58"/>
      <c r="E183" s="58"/>
      <c r="F183" s="58"/>
      <c r="G183" s="58"/>
      <c r="H183" s="58"/>
      <c r="I183" s="58"/>
      <c r="J183" s="58"/>
      <c r="K183" s="59"/>
      <c r="L183" s="98"/>
      <c r="M183" s="61"/>
      <c r="N183" s="58"/>
      <c r="O183" s="58"/>
      <c r="P183" s="58"/>
      <c r="Q183" s="58"/>
      <c r="R183" s="59"/>
      <c r="S183" s="62"/>
      <c r="T183" s="102"/>
      <c r="U183" s="64"/>
      <c r="V183" s="65"/>
      <c r="W183" s="65"/>
      <c r="X183" s="77"/>
    </row>
    <row r="184" spans="1:24" s="56" customFormat="1" ht="15.75" customHeight="1">
      <c r="A184" s="67" t="s">
        <v>166</v>
      </c>
      <c r="B184" s="164" t="s">
        <v>58</v>
      </c>
      <c r="C184" s="58">
        <v>4</v>
      </c>
      <c r="D184" s="58">
        <v>4</v>
      </c>
      <c r="E184" s="58">
        <v>3</v>
      </c>
      <c r="F184" s="78" t="s">
        <v>220</v>
      </c>
      <c r="G184" s="58">
        <v>4</v>
      </c>
      <c r="H184" s="78" t="s">
        <v>60</v>
      </c>
      <c r="I184" s="58">
        <v>3</v>
      </c>
      <c r="J184" s="58">
        <v>2</v>
      </c>
      <c r="K184" s="59">
        <v>8</v>
      </c>
      <c r="L184" s="98"/>
      <c r="M184" s="68" t="s">
        <v>58</v>
      </c>
      <c r="N184" s="68" t="s">
        <v>58</v>
      </c>
      <c r="O184" s="58">
        <v>1</v>
      </c>
      <c r="P184" s="58" t="s">
        <v>58</v>
      </c>
      <c r="Q184" s="58" t="s">
        <v>58</v>
      </c>
      <c r="R184" s="58" t="s">
        <v>58</v>
      </c>
      <c r="S184" s="62" t="s">
        <v>32</v>
      </c>
      <c r="T184" s="69"/>
      <c r="U184" s="64"/>
      <c r="V184" s="65"/>
      <c r="W184" s="65">
        <f>(IF(B184="-",0,B184)*(65+VLOOKUP(X187,Buried,$AB$358,FALSE)))+IF(M184="-",0,M184*10)+IF(N184="-",0,N184*10)</f>
        <v>0</v>
      </c>
      <c r="X184" s="70" t="s">
        <v>332</v>
      </c>
    </row>
    <row r="185" spans="1:24" s="56" customFormat="1" ht="15.75" customHeight="1">
      <c r="A185" s="71" t="s">
        <v>163</v>
      </c>
      <c r="B185" s="68" t="s">
        <v>58</v>
      </c>
      <c r="C185" s="58">
        <v>4</v>
      </c>
      <c r="D185" s="58">
        <v>4</v>
      </c>
      <c r="E185" s="58">
        <v>3</v>
      </c>
      <c r="F185" s="78" t="s">
        <v>220</v>
      </c>
      <c r="G185" s="58">
        <v>4</v>
      </c>
      <c r="H185" s="78" t="s">
        <v>60</v>
      </c>
      <c r="I185" s="58">
        <v>3</v>
      </c>
      <c r="J185" s="58">
        <v>3</v>
      </c>
      <c r="K185" s="59">
        <v>8</v>
      </c>
      <c r="L185" s="98"/>
      <c r="M185" s="61"/>
      <c r="N185" s="58"/>
      <c r="O185" s="58">
        <v>1</v>
      </c>
      <c r="P185" s="58" t="str">
        <f>P184</f>
        <v>-</v>
      </c>
      <c r="Q185" s="58" t="str">
        <f>Q184</f>
        <v>-</v>
      </c>
      <c r="R185" s="58" t="s">
        <v>58</v>
      </c>
      <c r="S185" s="62" t="s">
        <v>32</v>
      </c>
      <c r="T185" s="69"/>
      <c r="U185" s="64"/>
      <c r="V185" s="65"/>
      <c r="W185" s="65">
        <f>IF(B185="-",0,B185)*(75+VLOOKUP(X187,Buried,$AB$358,FALSE))</f>
        <v>0</v>
      </c>
      <c r="X185" s="70" t="s">
        <v>193</v>
      </c>
    </row>
    <row r="186" spans="1:24" s="56" customFormat="1" ht="15.75" customHeight="1">
      <c r="A186" s="71" t="s">
        <v>167</v>
      </c>
      <c r="B186" s="100" t="str">
        <f>IF(B185="-",B184,B184+B185)</f>
        <v>-</v>
      </c>
      <c r="C186" s="58">
        <v>7</v>
      </c>
      <c r="D186" s="58">
        <v>3</v>
      </c>
      <c r="E186" s="58">
        <v>0</v>
      </c>
      <c r="F186" s="58">
        <v>5</v>
      </c>
      <c r="G186" s="58">
        <v>4</v>
      </c>
      <c r="H186" s="58">
        <v>3</v>
      </c>
      <c r="I186" s="58">
        <v>3</v>
      </c>
      <c r="J186" s="58">
        <v>3</v>
      </c>
      <c r="K186" s="59">
        <v>8</v>
      </c>
      <c r="L186" s="60"/>
      <c r="M186" s="61"/>
      <c r="N186" s="58"/>
      <c r="O186" s="58"/>
      <c r="P186" s="58"/>
      <c r="Q186" s="58"/>
      <c r="R186" s="59"/>
      <c r="S186" s="62" t="s">
        <v>32</v>
      </c>
      <c r="T186" s="69"/>
      <c r="U186" s="64"/>
      <c r="V186" s="65"/>
      <c r="W186" s="65"/>
      <c r="X186" s="70" t="s">
        <v>188</v>
      </c>
    </row>
    <row r="187" spans="1:24" s="56" customFormat="1" ht="15.75" customHeight="1">
      <c r="A187" s="71"/>
      <c r="B187" s="100"/>
      <c r="C187" s="58"/>
      <c r="D187" s="58"/>
      <c r="E187" s="58"/>
      <c r="F187" s="58"/>
      <c r="G187" s="58"/>
      <c r="H187" s="58"/>
      <c r="I187" s="58"/>
      <c r="J187" s="58"/>
      <c r="K187" s="59"/>
      <c r="L187" s="60"/>
      <c r="M187" s="61"/>
      <c r="N187" s="58"/>
      <c r="O187" s="58"/>
      <c r="P187" s="58"/>
      <c r="Q187" s="58"/>
      <c r="R187" s="59"/>
      <c r="S187" s="62"/>
      <c r="T187" s="102"/>
      <c r="U187" s="64"/>
      <c r="V187" s="65"/>
      <c r="W187" s="65"/>
      <c r="X187" s="105" t="s">
        <v>190</v>
      </c>
    </row>
    <row r="188" spans="1:24" s="56" customFormat="1" ht="15.75" customHeight="1">
      <c r="A188" s="71"/>
      <c r="B188" s="100"/>
      <c r="C188" s="58"/>
      <c r="D188" s="58"/>
      <c r="E188" s="58"/>
      <c r="F188" s="58"/>
      <c r="G188" s="58"/>
      <c r="H188" s="58"/>
      <c r="I188" s="58"/>
      <c r="J188" s="58"/>
      <c r="K188" s="59"/>
      <c r="L188" s="60"/>
      <c r="M188" s="61"/>
      <c r="N188" s="58"/>
      <c r="O188" s="58"/>
      <c r="P188" s="58"/>
      <c r="Q188" s="58"/>
      <c r="R188" s="59"/>
      <c r="S188" s="62"/>
      <c r="T188" s="102"/>
      <c r="U188" s="64"/>
      <c r="V188" s="65"/>
      <c r="W188" s="65"/>
      <c r="X188" s="105" t="str">
        <f>VLOOKUP(X187,Buried,$Z$358,FALSE)</f>
        <v>-</v>
      </c>
    </row>
    <row r="189" spans="1:24" s="56" customFormat="1" ht="15.75" customHeight="1">
      <c r="A189" s="120"/>
      <c r="B189" s="100"/>
      <c r="C189" s="58"/>
      <c r="D189" s="58"/>
      <c r="E189" s="58"/>
      <c r="F189" s="58"/>
      <c r="G189" s="58"/>
      <c r="H189" s="58"/>
      <c r="I189" s="58"/>
      <c r="J189" s="58"/>
      <c r="K189" s="59"/>
      <c r="L189" s="60"/>
      <c r="M189" s="61"/>
      <c r="N189" s="58"/>
      <c r="O189" s="58"/>
      <c r="P189" s="58"/>
      <c r="Q189" s="58"/>
      <c r="R189" s="59"/>
      <c r="S189" s="62"/>
      <c r="T189" s="102"/>
      <c r="U189" s="64"/>
      <c r="V189" s="65"/>
      <c r="W189" s="65"/>
      <c r="X189" s="70" t="s">
        <v>187</v>
      </c>
    </row>
    <row r="190" spans="1:24" s="56" customFormat="1" ht="15.75" customHeight="1">
      <c r="A190" s="71"/>
      <c r="B190" s="100"/>
      <c r="C190" s="58"/>
      <c r="D190" s="58"/>
      <c r="E190" s="58"/>
      <c r="F190" s="58"/>
      <c r="G190" s="58"/>
      <c r="H190" s="58"/>
      <c r="I190" s="58"/>
      <c r="J190" s="58"/>
      <c r="K190" s="59"/>
      <c r="L190" s="60"/>
      <c r="M190" s="61"/>
      <c r="N190" s="58"/>
      <c r="O190" s="58"/>
      <c r="P190" s="58"/>
      <c r="Q190" s="58"/>
      <c r="R190" s="59"/>
      <c r="S190" s="62"/>
      <c r="T190" s="102"/>
      <c r="U190" s="64"/>
      <c r="V190" s="65"/>
      <c r="W190" s="65"/>
      <c r="X190" s="75"/>
    </row>
    <row r="191" spans="1:24" s="56" customFormat="1" ht="15.75" customHeight="1">
      <c r="A191" s="71"/>
      <c r="B191" s="165"/>
      <c r="C191" s="58"/>
      <c r="D191" s="58"/>
      <c r="E191" s="58"/>
      <c r="F191" s="58"/>
      <c r="G191" s="58"/>
      <c r="H191" s="58"/>
      <c r="I191" s="58"/>
      <c r="J191" s="58"/>
      <c r="K191" s="59"/>
      <c r="L191" s="60"/>
      <c r="M191" s="61"/>
      <c r="N191" s="58"/>
      <c r="O191" s="58"/>
      <c r="P191" s="58"/>
      <c r="Q191" s="58"/>
      <c r="R191" s="59"/>
      <c r="S191" s="62"/>
      <c r="T191" s="102"/>
      <c r="U191" s="64"/>
      <c r="V191" s="65"/>
      <c r="W191" s="65"/>
      <c r="X191" s="70"/>
    </row>
    <row r="192" spans="1:24" s="56" customFormat="1" ht="15.75" customHeight="1">
      <c r="A192" s="71" t="s">
        <v>168</v>
      </c>
      <c r="B192" s="164" t="s">
        <v>58</v>
      </c>
      <c r="C192" s="58">
        <v>7</v>
      </c>
      <c r="D192" s="58">
        <v>3</v>
      </c>
      <c r="E192" s="58">
        <v>3</v>
      </c>
      <c r="F192" s="78" t="s">
        <v>220</v>
      </c>
      <c r="G192" s="58">
        <v>4</v>
      </c>
      <c r="H192" s="58">
        <v>3</v>
      </c>
      <c r="I192" s="58">
        <v>3</v>
      </c>
      <c r="J192" s="58">
        <v>2</v>
      </c>
      <c r="K192" s="59">
        <v>8</v>
      </c>
      <c r="L192" s="98"/>
      <c r="M192" s="61"/>
      <c r="N192" s="58"/>
      <c r="O192" s="58">
        <v>1</v>
      </c>
      <c r="P192" s="58" t="s">
        <v>58</v>
      </c>
      <c r="Q192" s="58" t="s">
        <v>58</v>
      </c>
      <c r="R192" s="58" t="s">
        <v>58</v>
      </c>
      <c r="S192" s="62" t="s">
        <v>207</v>
      </c>
      <c r="T192" s="73"/>
      <c r="U192" s="64"/>
      <c r="V192" s="65"/>
      <c r="W192" s="65">
        <f>(IF(B192="-",0,B192)*(55))</f>
        <v>0</v>
      </c>
      <c r="X192" s="70" t="s">
        <v>332</v>
      </c>
    </row>
    <row r="193" spans="1:24" s="56" customFormat="1" ht="15.75" customHeight="1">
      <c r="A193" s="71"/>
      <c r="B193" s="100"/>
      <c r="C193" s="58"/>
      <c r="D193" s="58"/>
      <c r="E193" s="58"/>
      <c r="F193" s="58"/>
      <c r="G193" s="58"/>
      <c r="H193" s="58"/>
      <c r="I193" s="58"/>
      <c r="J193" s="58"/>
      <c r="K193" s="59"/>
      <c r="L193" s="60"/>
      <c r="M193" s="61"/>
      <c r="N193" s="58"/>
      <c r="O193" s="58"/>
      <c r="P193" s="58"/>
      <c r="Q193" s="58"/>
      <c r="R193" s="59"/>
      <c r="S193" s="62"/>
      <c r="T193" s="102"/>
      <c r="U193" s="64"/>
      <c r="V193" s="65"/>
      <c r="W193" s="65"/>
      <c r="X193" s="85" t="s">
        <v>64</v>
      </c>
    </row>
    <row r="194" spans="1:24" s="56" customFormat="1" ht="15.75" customHeight="1">
      <c r="A194" s="71"/>
      <c r="B194" s="100"/>
      <c r="C194" s="58"/>
      <c r="D194" s="58"/>
      <c r="E194" s="58"/>
      <c r="F194" s="58"/>
      <c r="G194" s="58"/>
      <c r="H194" s="58"/>
      <c r="I194" s="58"/>
      <c r="J194" s="58"/>
      <c r="K194" s="59"/>
      <c r="L194" s="60"/>
      <c r="M194" s="61"/>
      <c r="N194" s="58"/>
      <c r="O194" s="58"/>
      <c r="P194" s="58"/>
      <c r="Q194" s="58"/>
      <c r="R194" s="59"/>
      <c r="S194" s="62"/>
      <c r="T194" s="102"/>
      <c r="U194" s="64"/>
      <c r="V194" s="65"/>
      <c r="W194" s="65"/>
      <c r="X194" s="80" t="s">
        <v>22</v>
      </c>
    </row>
    <row r="195" spans="1:24" s="56" customFormat="1" ht="15.75" customHeight="1">
      <c r="A195" s="71"/>
      <c r="B195" s="100"/>
      <c r="C195" s="58"/>
      <c r="D195" s="58"/>
      <c r="E195" s="58"/>
      <c r="F195" s="58"/>
      <c r="G195" s="58"/>
      <c r="H195" s="58"/>
      <c r="I195" s="58"/>
      <c r="J195" s="58"/>
      <c r="K195" s="59"/>
      <c r="L195" s="60"/>
      <c r="M195" s="61"/>
      <c r="N195" s="58"/>
      <c r="O195" s="58"/>
      <c r="P195" s="58"/>
      <c r="Q195" s="58"/>
      <c r="R195" s="59"/>
      <c r="S195" s="62"/>
      <c r="T195" s="102"/>
      <c r="U195" s="64"/>
      <c r="V195" s="65"/>
      <c r="W195" s="65"/>
      <c r="X195" s="90" t="s">
        <v>65</v>
      </c>
    </row>
    <row r="196" spans="1:24" s="56" customFormat="1" ht="15.75" customHeight="1">
      <c r="A196" s="71"/>
      <c r="B196" s="100"/>
      <c r="C196" s="58"/>
      <c r="D196" s="58"/>
      <c r="E196" s="58"/>
      <c r="F196" s="58"/>
      <c r="G196" s="58"/>
      <c r="H196" s="58"/>
      <c r="I196" s="58"/>
      <c r="J196" s="58"/>
      <c r="K196" s="59"/>
      <c r="L196" s="60"/>
      <c r="M196" s="61"/>
      <c r="N196" s="58"/>
      <c r="O196" s="58"/>
      <c r="P196" s="58"/>
      <c r="Q196" s="58"/>
      <c r="R196" s="59"/>
      <c r="S196" s="62"/>
      <c r="T196" s="102"/>
      <c r="U196" s="64"/>
      <c r="V196" s="65"/>
      <c r="W196" s="65"/>
      <c r="X196" s="90" t="s">
        <v>67</v>
      </c>
    </row>
    <row r="197" spans="1:24" s="56" customFormat="1" ht="15.75" customHeight="1">
      <c r="A197" s="71"/>
      <c r="B197" s="100"/>
      <c r="C197" s="58"/>
      <c r="D197" s="58"/>
      <c r="E197" s="58"/>
      <c r="F197" s="58"/>
      <c r="G197" s="58"/>
      <c r="H197" s="58"/>
      <c r="I197" s="58"/>
      <c r="J197" s="58"/>
      <c r="K197" s="59"/>
      <c r="L197" s="60"/>
      <c r="M197" s="61"/>
      <c r="N197" s="58"/>
      <c r="O197" s="58"/>
      <c r="P197" s="58"/>
      <c r="Q197" s="58"/>
      <c r="R197" s="59"/>
      <c r="S197" s="62"/>
      <c r="T197" s="102"/>
      <c r="U197" s="64"/>
      <c r="V197" s="65"/>
      <c r="W197" s="65"/>
      <c r="X197" s="90" t="s">
        <v>186</v>
      </c>
    </row>
    <row r="198" spans="1:24" s="56" customFormat="1" ht="15.75" customHeight="1">
      <c r="A198" s="71"/>
      <c r="B198" s="100"/>
      <c r="C198" s="58"/>
      <c r="D198" s="58"/>
      <c r="E198" s="58"/>
      <c r="F198" s="58"/>
      <c r="G198" s="58"/>
      <c r="H198" s="58"/>
      <c r="I198" s="58"/>
      <c r="J198" s="58"/>
      <c r="K198" s="59"/>
      <c r="L198" s="60"/>
      <c r="M198" s="61"/>
      <c r="N198" s="58"/>
      <c r="O198" s="58"/>
      <c r="P198" s="58"/>
      <c r="Q198" s="58"/>
      <c r="R198" s="59"/>
      <c r="S198" s="62"/>
      <c r="T198" s="102"/>
      <c r="U198" s="64"/>
      <c r="V198" s="65"/>
      <c r="W198" s="65"/>
      <c r="X198" s="70" t="s">
        <v>271</v>
      </c>
    </row>
    <row r="199" spans="1:24" s="56" customFormat="1" ht="15.75" customHeight="1">
      <c r="A199" s="71"/>
      <c r="B199" s="100"/>
      <c r="C199" s="58"/>
      <c r="D199" s="58"/>
      <c r="E199" s="58"/>
      <c r="F199" s="58"/>
      <c r="G199" s="58"/>
      <c r="H199" s="58"/>
      <c r="I199" s="58"/>
      <c r="J199" s="58"/>
      <c r="K199" s="59"/>
      <c r="L199" s="60"/>
      <c r="M199" s="61"/>
      <c r="N199" s="58"/>
      <c r="O199" s="58"/>
      <c r="P199" s="58"/>
      <c r="Q199" s="58"/>
      <c r="R199" s="59"/>
      <c r="S199" s="62"/>
      <c r="T199" s="102"/>
      <c r="U199" s="64"/>
      <c r="V199" s="65"/>
      <c r="W199" s="65"/>
      <c r="X199" s="70"/>
    </row>
    <row r="200" spans="1:24" s="56" customFormat="1" ht="15.75" customHeight="1">
      <c r="A200" s="71"/>
      <c r="B200" s="100"/>
      <c r="C200" s="58"/>
      <c r="D200" s="58"/>
      <c r="E200" s="58"/>
      <c r="F200" s="58"/>
      <c r="G200" s="58"/>
      <c r="H200" s="58"/>
      <c r="I200" s="58"/>
      <c r="J200" s="58"/>
      <c r="K200" s="59"/>
      <c r="L200" s="98"/>
      <c r="M200" s="61"/>
      <c r="N200" s="58"/>
      <c r="O200" s="58"/>
      <c r="P200" s="58"/>
      <c r="Q200" s="58"/>
      <c r="R200" s="59"/>
      <c r="S200" s="62"/>
      <c r="T200" s="43"/>
      <c r="U200" s="64"/>
      <c r="V200" s="65"/>
      <c r="W200" s="65"/>
      <c r="X200" s="80"/>
    </row>
    <row r="201" spans="1:24" s="56" customFormat="1" ht="15.75" customHeight="1">
      <c r="A201" s="67" t="s">
        <v>169</v>
      </c>
      <c r="B201" s="68" t="s">
        <v>58</v>
      </c>
      <c r="C201" s="58">
        <v>6</v>
      </c>
      <c r="D201" s="58">
        <v>4</v>
      </c>
      <c r="E201" s="58">
        <v>0</v>
      </c>
      <c r="F201" s="58">
        <v>5</v>
      </c>
      <c r="G201" s="58">
        <v>8</v>
      </c>
      <c r="H201" s="58">
        <v>5</v>
      </c>
      <c r="I201" s="58">
        <v>1</v>
      </c>
      <c r="J201" s="58">
        <v>4</v>
      </c>
      <c r="K201" s="59">
        <v>8</v>
      </c>
      <c r="L201" s="166"/>
      <c r="M201" s="123"/>
      <c r="N201" s="120"/>
      <c r="O201" s="58">
        <v>1</v>
      </c>
      <c r="P201" s="58" t="s">
        <v>58</v>
      </c>
      <c r="Q201" s="58" t="s">
        <v>58</v>
      </c>
      <c r="R201" s="58" t="s">
        <v>58</v>
      </c>
      <c r="S201" s="62" t="s">
        <v>207</v>
      </c>
      <c r="T201" s="73"/>
      <c r="U201" s="64"/>
      <c r="V201" s="65"/>
      <c r="W201" s="65">
        <f>IF(B201="-",0,B201)*(210+VLOOKUP(X208,Sphinx,$Z$346,FALSE)+VLOOKUP(X209,Sphinx,$Z$346,FALSE))</f>
        <v>0</v>
      </c>
      <c r="X201" s="70" t="s">
        <v>332</v>
      </c>
    </row>
    <row r="202" spans="1:24" s="56" customFormat="1" ht="15.75" customHeight="1">
      <c r="A202" s="71" t="s">
        <v>62</v>
      </c>
      <c r="B202" s="100" t="str">
        <f>IF(B201="-","-",B201*4)</f>
        <v>-</v>
      </c>
      <c r="C202" s="58" t="s">
        <v>58</v>
      </c>
      <c r="D202" s="58">
        <v>3</v>
      </c>
      <c r="E202" s="58">
        <v>3</v>
      </c>
      <c r="F202" s="78" t="s">
        <v>220</v>
      </c>
      <c r="G202" s="58" t="s">
        <v>58</v>
      </c>
      <c r="H202" s="58" t="s">
        <v>58</v>
      </c>
      <c r="I202" s="58">
        <v>3</v>
      </c>
      <c r="J202" s="58">
        <v>1</v>
      </c>
      <c r="K202" s="59">
        <v>8</v>
      </c>
      <c r="L202" s="98"/>
      <c r="M202" s="61"/>
      <c r="N202" s="58"/>
      <c r="O202" s="58">
        <v>1</v>
      </c>
      <c r="P202" s="58" t="s">
        <v>58</v>
      </c>
      <c r="Q202" s="58" t="s">
        <v>58</v>
      </c>
      <c r="R202" s="59" t="str">
        <f>R201</f>
        <v>-</v>
      </c>
      <c r="S202" s="62" t="str">
        <f>VLOOKUP(T202,RW,$Z$293,FALSE)</f>
        <v>-</v>
      </c>
      <c r="T202" s="69">
        <f>VLOOKUP(Q202,Ruestung,$Z$284,FALSE)+IF(R202=1,1,0)</f>
        <v>0</v>
      </c>
      <c r="U202" s="64"/>
      <c r="V202" s="65"/>
      <c r="W202" s="65"/>
      <c r="X202" s="70" t="s">
        <v>193</v>
      </c>
    </row>
    <row r="203" spans="1:24" s="56" customFormat="1" ht="15.75" customHeight="1">
      <c r="A203" s="71"/>
      <c r="B203" s="100"/>
      <c r="C203" s="58"/>
      <c r="D203" s="58"/>
      <c r="E203" s="58"/>
      <c r="F203" s="58"/>
      <c r="G203" s="58"/>
      <c r="H203" s="58"/>
      <c r="I203" s="58"/>
      <c r="J203" s="58"/>
      <c r="K203" s="59"/>
      <c r="L203" s="98"/>
      <c r="M203" s="61"/>
      <c r="N203" s="58"/>
      <c r="O203" s="58"/>
      <c r="P203" s="58"/>
      <c r="Q203" s="58"/>
      <c r="R203" s="59"/>
      <c r="S203" s="62"/>
      <c r="T203" s="43"/>
      <c r="U203" s="64"/>
      <c r="V203" s="65"/>
      <c r="W203" s="65"/>
      <c r="X203" s="70" t="s">
        <v>194</v>
      </c>
    </row>
    <row r="204" spans="1:24" s="56" customFormat="1" ht="15.75" customHeight="1">
      <c r="A204" s="71"/>
      <c r="B204" s="100"/>
      <c r="C204" s="58"/>
      <c r="D204" s="58"/>
      <c r="E204" s="58"/>
      <c r="F204" s="58"/>
      <c r="G204" s="58"/>
      <c r="H204" s="58"/>
      <c r="I204" s="58"/>
      <c r="J204" s="58"/>
      <c r="K204" s="59"/>
      <c r="L204" s="98"/>
      <c r="M204" s="61"/>
      <c r="N204" s="58"/>
      <c r="O204" s="59"/>
      <c r="P204" s="59"/>
      <c r="Q204" s="58"/>
      <c r="R204" s="59"/>
      <c r="S204" s="62"/>
      <c r="T204" s="43"/>
      <c r="U204" s="64"/>
      <c r="V204" s="65"/>
      <c r="W204" s="65"/>
      <c r="X204" s="70" t="s">
        <v>195</v>
      </c>
    </row>
    <row r="205" spans="1:24" s="56" customFormat="1" ht="15.75" customHeight="1">
      <c r="A205" s="67"/>
      <c r="B205" s="100"/>
      <c r="C205" s="58"/>
      <c r="D205" s="58"/>
      <c r="E205" s="58"/>
      <c r="F205" s="58"/>
      <c r="G205" s="58"/>
      <c r="H205" s="58"/>
      <c r="I205" s="58"/>
      <c r="J205" s="58"/>
      <c r="K205" s="59"/>
      <c r="L205" s="98"/>
      <c r="M205" s="61"/>
      <c r="N205" s="58"/>
      <c r="O205" s="59"/>
      <c r="P205" s="59"/>
      <c r="Q205" s="58"/>
      <c r="R205" s="59"/>
      <c r="S205" s="62"/>
      <c r="T205" s="43"/>
      <c r="U205" s="64"/>
      <c r="V205" s="65"/>
      <c r="W205" s="65"/>
      <c r="X205" s="80" t="s">
        <v>76</v>
      </c>
    </row>
    <row r="206" spans="1:24" s="56" customFormat="1" ht="15.75" customHeight="1">
      <c r="A206" s="67"/>
      <c r="B206" s="100"/>
      <c r="C206" s="58"/>
      <c r="D206" s="58"/>
      <c r="E206" s="58"/>
      <c r="F206" s="58"/>
      <c r="G206" s="58"/>
      <c r="H206" s="58"/>
      <c r="I206" s="58"/>
      <c r="J206" s="58"/>
      <c r="K206" s="59"/>
      <c r="L206" s="98"/>
      <c r="M206" s="61"/>
      <c r="N206" s="58"/>
      <c r="O206" s="59"/>
      <c r="P206" s="59"/>
      <c r="Q206" s="58"/>
      <c r="R206" s="59"/>
      <c r="S206" s="62"/>
      <c r="T206" s="43"/>
      <c r="U206" s="64"/>
      <c r="V206" s="65"/>
      <c r="W206" s="65"/>
      <c r="X206" s="80" t="s">
        <v>77</v>
      </c>
    </row>
    <row r="207" spans="1:24" s="56" customFormat="1" ht="15.75" customHeight="1">
      <c r="A207" s="67"/>
      <c r="B207" s="100"/>
      <c r="C207" s="58"/>
      <c r="D207" s="58"/>
      <c r="E207" s="58"/>
      <c r="F207" s="58"/>
      <c r="G207" s="58"/>
      <c r="H207" s="58"/>
      <c r="I207" s="58"/>
      <c r="J207" s="58"/>
      <c r="K207" s="59"/>
      <c r="L207" s="98"/>
      <c r="M207" s="61"/>
      <c r="N207" s="58"/>
      <c r="O207" s="59"/>
      <c r="P207" s="59"/>
      <c r="Q207" s="58"/>
      <c r="R207" s="59"/>
      <c r="S207" s="62"/>
      <c r="T207" s="43"/>
      <c r="U207" s="64"/>
      <c r="V207" s="65"/>
      <c r="W207" s="65"/>
      <c r="X207" s="80" t="s">
        <v>78</v>
      </c>
    </row>
    <row r="208" spans="1:24" s="56" customFormat="1" ht="15.75" customHeight="1">
      <c r="A208" s="67"/>
      <c r="B208" s="100"/>
      <c r="C208" s="58"/>
      <c r="D208" s="58"/>
      <c r="E208" s="58"/>
      <c r="F208" s="58"/>
      <c r="G208" s="58"/>
      <c r="H208" s="58"/>
      <c r="I208" s="58"/>
      <c r="J208" s="58"/>
      <c r="K208" s="59"/>
      <c r="L208" s="98"/>
      <c r="M208" s="61"/>
      <c r="N208" s="58"/>
      <c r="O208" s="59"/>
      <c r="P208" s="59"/>
      <c r="Q208" s="58"/>
      <c r="R208" s="59"/>
      <c r="S208" s="62"/>
      <c r="T208" s="43"/>
      <c r="U208" s="64"/>
      <c r="V208" s="65"/>
      <c r="W208" s="65"/>
      <c r="X208" s="105" t="s">
        <v>123</v>
      </c>
    </row>
    <row r="209" spans="1:24" s="56" customFormat="1" ht="15.75" customHeight="1">
      <c r="A209" s="67"/>
      <c r="B209" s="100"/>
      <c r="C209" s="58"/>
      <c r="D209" s="58"/>
      <c r="E209" s="58"/>
      <c r="F209" s="58"/>
      <c r="G209" s="58"/>
      <c r="H209" s="58"/>
      <c r="I209" s="58"/>
      <c r="J209" s="58"/>
      <c r="K209" s="59"/>
      <c r="L209" s="98"/>
      <c r="M209" s="61"/>
      <c r="N209" s="58"/>
      <c r="O209" s="59"/>
      <c r="P209" s="59"/>
      <c r="Q209" s="58"/>
      <c r="R209" s="59"/>
      <c r="S209" s="62"/>
      <c r="T209" s="43"/>
      <c r="U209" s="64"/>
      <c r="V209" s="65"/>
      <c r="W209" s="65"/>
      <c r="X209" s="105" t="s">
        <v>123</v>
      </c>
    </row>
    <row r="210" spans="1:24" s="56" customFormat="1" ht="15.75" customHeight="1">
      <c r="A210" s="83"/>
      <c r="B210" s="100"/>
      <c r="C210" s="58"/>
      <c r="D210" s="58"/>
      <c r="E210" s="58"/>
      <c r="F210" s="58"/>
      <c r="G210" s="58"/>
      <c r="H210" s="58"/>
      <c r="I210" s="58"/>
      <c r="J210" s="58"/>
      <c r="K210" s="59"/>
      <c r="L210" s="98"/>
      <c r="M210" s="61"/>
      <c r="N210" s="58"/>
      <c r="O210" s="59"/>
      <c r="P210" s="59"/>
      <c r="Q210" s="58"/>
      <c r="R210" s="59"/>
      <c r="S210" s="62"/>
      <c r="T210" s="43"/>
      <c r="U210" s="64"/>
      <c r="V210" s="65"/>
      <c r="W210" s="65"/>
      <c r="X210" s="70" t="s">
        <v>27</v>
      </c>
    </row>
    <row r="211" spans="1:24" s="56" customFormat="1" ht="15.75" customHeight="1">
      <c r="A211" s="57"/>
      <c r="B211" s="100"/>
      <c r="C211" s="58"/>
      <c r="D211" s="58"/>
      <c r="E211" s="58"/>
      <c r="F211" s="58"/>
      <c r="G211" s="58"/>
      <c r="H211" s="58"/>
      <c r="I211" s="58"/>
      <c r="J211" s="58"/>
      <c r="K211" s="59"/>
      <c r="L211" s="98"/>
      <c r="M211" s="61"/>
      <c r="N211" s="58"/>
      <c r="O211" s="59"/>
      <c r="P211" s="59"/>
      <c r="Q211" s="58"/>
      <c r="R211" s="59"/>
      <c r="S211" s="62"/>
      <c r="T211" s="43"/>
      <c r="U211" s="64"/>
      <c r="V211" s="65"/>
      <c r="W211" s="65"/>
      <c r="X211" s="80"/>
    </row>
    <row r="212" spans="1:24" s="56" customFormat="1" ht="15.75" customHeight="1">
      <c r="A212" s="67"/>
      <c r="B212" s="100"/>
      <c r="C212" s="58"/>
      <c r="D212" s="58"/>
      <c r="E212" s="58"/>
      <c r="F212" s="58"/>
      <c r="G212" s="58"/>
      <c r="H212" s="58"/>
      <c r="I212" s="58"/>
      <c r="J212" s="58"/>
      <c r="K212" s="59"/>
      <c r="L212" s="98"/>
      <c r="M212" s="61"/>
      <c r="N212" s="58"/>
      <c r="O212" s="59"/>
      <c r="P212" s="59"/>
      <c r="Q212" s="58"/>
      <c r="R212" s="59"/>
      <c r="S212" s="62"/>
      <c r="T212" s="43"/>
      <c r="U212" s="64"/>
      <c r="V212" s="65"/>
      <c r="W212" s="65"/>
      <c r="X212" s="80"/>
    </row>
    <row r="213" spans="1:24" s="56" customFormat="1" ht="15.75" customHeight="1">
      <c r="A213" s="67" t="s">
        <v>170</v>
      </c>
      <c r="B213" s="164" t="s">
        <v>58</v>
      </c>
      <c r="C213" s="58">
        <v>7</v>
      </c>
      <c r="D213" s="58">
        <v>4</v>
      </c>
      <c r="E213" s="58">
        <v>0</v>
      </c>
      <c r="F213" s="58">
        <v>5</v>
      </c>
      <c r="G213" s="58">
        <v>5</v>
      </c>
      <c r="H213" s="58">
        <v>3</v>
      </c>
      <c r="I213" s="58">
        <v>3</v>
      </c>
      <c r="J213" s="58">
        <v>4</v>
      </c>
      <c r="K213" s="59">
        <v>8</v>
      </c>
      <c r="L213" s="98"/>
      <c r="M213" s="61"/>
      <c r="N213" s="58"/>
      <c r="O213" s="58">
        <v>1</v>
      </c>
      <c r="P213" s="58" t="s">
        <v>58</v>
      </c>
      <c r="Q213" s="58" t="s">
        <v>58</v>
      </c>
      <c r="R213" s="58" t="s">
        <v>58</v>
      </c>
      <c r="S213" s="62" t="s">
        <v>207</v>
      </c>
      <c r="T213" s="73"/>
      <c r="U213" s="64"/>
      <c r="V213" s="65"/>
      <c r="W213" s="65">
        <f>(IF(B213="-",0,B213)*(85))</f>
        <v>0</v>
      </c>
      <c r="X213" s="70" t="s">
        <v>332</v>
      </c>
    </row>
    <row r="214" spans="1:24" s="56" customFormat="1" ht="15.75" customHeight="1">
      <c r="A214" s="71"/>
      <c r="B214" s="100"/>
      <c r="C214" s="58"/>
      <c r="D214" s="58"/>
      <c r="E214" s="58"/>
      <c r="F214" s="58"/>
      <c r="G214" s="58"/>
      <c r="H214" s="58"/>
      <c r="I214" s="58"/>
      <c r="J214" s="58"/>
      <c r="K214" s="59"/>
      <c r="L214" s="98"/>
      <c r="M214" s="61"/>
      <c r="N214" s="58"/>
      <c r="O214" s="59"/>
      <c r="P214" s="59"/>
      <c r="Q214" s="58"/>
      <c r="R214" s="59"/>
      <c r="S214" s="62"/>
      <c r="T214" s="43"/>
      <c r="U214" s="64"/>
      <c r="V214" s="65"/>
      <c r="W214" s="65"/>
      <c r="X214" s="70" t="s">
        <v>269</v>
      </c>
    </row>
    <row r="215" spans="1:24" s="56" customFormat="1" ht="15.75" customHeight="1">
      <c r="A215" s="67"/>
      <c r="B215" s="100"/>
      <c r="C215" s="58"/>
      <c r="D215" s="58"/>
      <c r="E215" s="58"/>
      <c r="F215" s="58"/>
      <c r="G215" s="58"/>
      <c r="H215" s="58"/>
      <c r="I215" s="58"/>
      <c r="J215" s="58"/>
      <c r="K215" s="59"/>
      <c r="L215" s="98"/>
      <c r="M215" s="61"/>
      <c r="N215" s="58"/>
      <c r="O215" s="59"/>
      <c r="P215" s="59"/>
      <c r="Q215" s="58"/>
      <c r="R215" s="59"/>
      <c r="S215" s="62"/>
      <c r="T215" s="43"/>
      <c r="U215" s="64"/>
      <c r="V215" s="65"/>
      <c r="W215" s="65"/>
      <c r="X215" s="85" t="s">
        <v>270</v>
      </c>
    </row>
    <row r="216" spans="1:24" s="56" customFormat="1" ht="15.75" customHeight="1">
      <c r="A216" s="67"/>
      <c r="B216" s="100"/>
      <c r="C216" s="58"/>
      <c r="D216" s="58"/>
      <c r="E216" s="58"/>
      <c r="F216" s="58"/>
      <c r="G216" s="58"/>
      <c r="H216" s="58"/>
      <c r="I216" s="58"/>
      <c r="J216" s="58"/>
      <c r="K216" s="59"/>
      <c r="L216" s="98"/>
      <c r="M216" s="61"/>
      <c r="N216" s="58"/>
      <c r="O216" s="59"/>
      <c r="P216" s="59"/>
      <c r="Q216" s="58"/>
      <c r="R216" s="59"/>
      <c r="S216" s="62"/>
      <c r="T216" s="43"/>
      <c r="U216" s="64"/>
      <c r="V216" s="65"/>
      <c r="W216" s="65"/>
      <c r="X216" s="80" t="s">
        <v>192</v>
      </c>
    </row>
    <row r="217" spans="1:24" s="56" customFormat="1" ht="15.75" customHeight="1">
      <c r="A217" s="67"/>
      <c r="B217" s="100"/>
      <c r="C217" s="58"/>
      <c r="D217" s="58"/>
      <c r="E217" s="58"/>
      <c r="F217" s="58"/>
      <c r="G217" s="58"/>
      <c r="H217" s="58"/>
      <c r="I217" s="58"/>
      <c r="J217" s="58"/>
      <c r="K217" s="59"/>
      <c r="L217" s="98"/>
      <c r="M217" s="61"/>
      <c r="N217" s="58"/>
      <c r="O217" s="59"/>
      <c r="P217" s="59"/>
      <c r="Q217" s="58"/>
      <c r="R217" s="59"/>
      <c r="S217" s="62"/>
      <c r="T217" s="43"/>
      <c r="U217" s="64"/>
      <c r="V217" s="65"/>
      <c r="W217" s="65"/>
      <c r="X217" s="90" t="s">
        <v>159</v>
      </c>
    </row>
    <row r="218" spans="1:24" s="56" customFormat="1" ht="15.75" customHeight="1">
      <c r="A218" s="67"/>
      <c r="B218" s="100"/>
      <c r="C218" s="58"/>
      <c r="D218" s="58"/>
      <c r="E218" s="58"/>
      <c r="F218" s="58"/>
      <c r="G218" s="58"/>
      <c r="H218" s="58"/>
      <c r="I218" s="58"/>
      <c r="J218" s="58"/>
      <c r="K218" s="59"/>
      <c r="L218" s="98"/>
      <c r="M218" s="61"/>
      <c r="N218" s="58"/>
      <c r="O218" s="59"/>
      <c r="P218" s="59"/>
      <c r="Q218" s="58"/>
      <c r="R218" s="59"/>
      <c r="S218" s="62"/>
      <c r="T218" s="43"/>
      <c r="U218" s="64"/>
      <c r="V218" s="65"/>
      <c r="W218" s="65"/>
      <c r="X218" s="70" t="s">
        <v>271</v>
      </c>
    </row>
    <row r="219" spans="1:24" s="56" customFormat="1" ht="15.75" customHeight="1">
      <c r="A219" s="67"/>
      <c r="B219" s="100"/>
      <c r="C219" s="58"/>
      <c r="D219" s="58"/>
      <c r="E219" s="58"/>
      <c r="F219" s="58"/>
      <c r="G219" s="58"/>
      <c r="H219" s="58"/>
      <c r="I219" s="58"/>
      <c r="J219" s="58"/>
      <c r="K219" s="59"/>
      <c r="L219" s="98"/>
      <c r="M219" s="61"/>
      <c r="N219" s="58"/>
      <c r="O219" s="59"/>
      <c r="P219" s="59"/>
      <c r="Q219" s="58"/>
      <c r="R219" s="59"/>
      <c r="S219" s="62"/>
      <c r="T219" s="43"/>
      <c r="U219" s="64"/>
      <c r="V219" s="65"/>
      <c r="W219" s="65"/>
      <c r="X219" s="80"/>
    </row>
    <row r="220" spans="1:24" s="56" customFormat="1" ht="15.75" customHeight="1">
      <c r="A220" s="67"/>
      <c r="B220" s="165"/>
      <c r="C220" s="58"/>
      <c r="D220" s="58"/>
      <c r="E220" s="58"/>
      <c r="F220" s="58"/>
      <c r="G220" s="58"/>
      <c r="H220" s="58"/>
      <c r="I220" s="58"/>
      <c r="J220" s="58"/>
      <c r="K220" s="59"/>
      <c r="L220" s="98"/>
      <c r="M220" s="61"/>
      <c r="N220" s="58"/>
      <c r="O220" s="59"/>
      <c r="P220" s="59"/>
      <c r="Q220" s="58"/>
      <c r="R220" s="59"/>
      <c r="S220" s="62"/>
      <c r="T220" s="43"/>
      <c r="U220" s="64"/>
      <c r="V220" s="65"/>
      <c r="W220" s="65"/>
      <c r="X220" s="80"/>
    </row>
    <row r="221" spans="1:24" s="56" customFormat="1" ht="15.75" customHeight="1">
      <c r="A221" s="67" t="s">
        <v>54</v>
      </c>
      <c r="B221" s="164" t="s">
        <v>58</v>
      </c>
      <c r="C221" s="58">
        <v>4</v>
      </c>
      <c r="D221" s="58">
        <v>3</v>
      </c>
      <c r="E221" s="58">
        <v>0</v>
      </c>
      <c r="F221" s="58">
        <v>2</v>
      </c>
      <c r="G221" s="58">
        <v>2</v>
      </c>
      <c r="H221" s="58">
        <v>5</v>
      </c>
      <c r="I221" s="58">
        <v>1</v>
      </c>
      <c r="J221" s="58">
        <v>5</v>
      </c>
      <c r="K221" s="59">
        <v>10</v>
      </c>
      <c r="L221" s="98"/>
      <c r="M221" s="61"/>
      <c r="N221" s="58"/>
      <c r="O221" s="58">
        <v>1</v>
      </c>
      <c r="P221" s="58" t="s">
        <v>58</v>
      </c>
      <c r="Q221" s="58" t="s">
        <v>58</v>
      </c>
      <c r="R221" s="58" t="s">
        <v>58</v>
      </c>
      <c r="S221" s="62"/>
      <c r="T221" s="73"/>
      <c r="U221" s="64"/>
      <c r="V221" s="65"/>
      <c r="W221" s="65">
        <f>(IF(B221="-",0,B221)*(40))</f>
        <v>0</v>
      </c>
      <c r="X221" s="70" t="s">
        <v>160</v>
      </c>
    </row>
    <row r="222" spans="1:24" s="56" customFormat="1" ht="15.75" customHeight="1">
      <c r="A222" s="71"/>
      <c r="B222" s="100"/>
      <c r="C222" s="58"/>
      <c r="D222" s="58"/>
      <c r="E222" s="58"/>
      <c r="F222" s="58"/>
      <c r="G222" s="58"/>
      <c r="H222" s="58"/>
      <c r="I222" s="58"/>
      <c r="J222" s="58"/>
      <c r="K222" s="59"/>
      <c r="L222" s="98"/>
      <c r="M222" s="61"/>
      <c r="N222" s="58"/>
      <c r="O222" s="59"/>
      <c r="P222" s="59"/>
      <c r="Q222" s="58"/>
      <c r="R222" s="59"/>
      <c r="S222" s="62"/>
      <c r="T222" s="43"/>
      <c r="U222" s="64"/>
      <c r="V222" s="65"/>
      <c r="W222" s="65"/>
      <c r="X222" s="70" t="s">
        <v>66</v>
      </c>
    </row>
    <row r="223" spans="1:24" s="56" customFormat="1" ht="15.75" customHeight="1">
      <c r="A223" s="67"/>
      <c r="B223" s="100"/>
      <c r="C223" s="58"/>
      <c r="D223" s="58"/>
      <c r="E223" s="58"/>
      <c r="F223" s="58"/>
      <c r="G223" s="58"/>
      <c r="H223" s="58"/>
      <c r="I223" s="58"/>
      <c r="J223" s="58"/>
      <c r="K223" s="59"/>
      <c r="L223" s="98"/>
      <c r="M223" s="61"/>
      <c r="N223" s="58"/>
      <c r="O223" s="59"/>
      <c r="P223" s="59"/>
      <c r="Q223" s="58"/>
      <c r="R223" s="59"/>
      <c r="S223" s="62"/>
      <c r="T223" s="43"/>
      <c r="U223" s="64"/>
      <c r="V223" s="65"/>
      <c r="W223" s="65"/>
      <c r="X223" s="80" t="s">
        <v>272</v>
      </c>
    </row>
    <row r="224" spans="1:24" s="56" customFormat="1" ht="15.75" customHeight="1">
      <c r="A224" s="67"/>
      <c r="B224" s="100"/>
      <c r="C224" s="58"/>
      <c r="D224" s="58"/>
      <c r="E224" s="58"/>
      <c r="F224" s="58"/>
      <c r="G224" s="58"/>
      <c r="H224" s="58"/>
      <c r="I224" s="58"/>
      <c r="J224" s="58"/>
      <c r="K224" s="59"/>
      <c r="L224" s="98"/>
      <c r="M224" s="61"/>
      <c r="N224" s="58"/>
      <c r="O224" s="59"/>
      <c r="P224" s="59"/>
      <c r="Q224" s="58"/>
      <c r="R224" s="59"/>
      <c r="S224" s="62"/>
      <c r="T224" s="43"/>
      <c r="U224" s="64"/>
      <c r="V224" s="65"/>
      <c r="W224" s="65"/>
      <c r="X224" s="90" t="s">
        <v>159</v>
      </c>
    </row>
    <row r="225" spans="1:24" s="56" customFormat="1" ht="15.75" customHeight="1">
      <c r="A225" s="67"/>
      <c r="B225" s="100"/>
      <c r="C225" s="58"/>
      <c r="D225" s="58"/>
      <c r="E225" s="58"/>
      <c r="F225" s="58"/>
      <c r="G225" s="58"/>
      <c r="H225" s="58"/>
      <c r="I225" s="58"/>
      <c r="J225" s="58"/>
      <c r="K225" s="59"/>
      <c r="L225" s="98"/>
      <c r="M225" s="61"/>
      <c r="N225" s="58"/>
      <c r="O225" s="59"/>
      <c r="P225" s="59"/>
      <c r="Q225" s="58"/>
      <c r="R225" s="59"/>
      <c r="S225" s="62"/>
      <c r="T225" s="43"/>
      <c r="U225" s="64"/>
      <c r="V225" s="65"/>
      <c r="W225" s="65"/>
      <c r="X225" s="90"/>
    </row>
    <row r="226" spans="1:24" s="56" customFormat="1" ht="15.75" customHeight="1">
      <c r="A226" s="67"/>
      <c r="B226" s="100"/>
      <c r="C226" s="58"/>
      <c r="D226" s="58"/>
      <c r="E226" s="58"/>
      <c r="F226" s="58"/>
      <c r="G226" s="58"/>
      <c r="H226" s="58"/>
      <c r="I226" s="58"/>
      <c r="J226" s="58"/>
      <c r="K226" s="59"/>
      <c r="L226" s="98"/>
      <c r="M226" s="61"/>
      <c r="N226" s="58"/>
      <c r="O226" s="59"/>
      <c r="P226" s="59"/>
      <c r="Q226" s="58"/>
      <c r="R226" s="59"/>
      <c r="S226" s="62"/>
      <c r="T226" s="43"/>
      <c r="U226" s="64"/>
      <c r="V226" s="65"/>
      <c r="W226" s="65"/>
      <c r="X226" s="80"/>
    </row>
    <row r="227" spans="1:24" s="56" customFormat="1" ht="15.75" customHeight="1">
      <c r="A227" s="67" t="s">
        <v>171</v>
      </c>
      <c r="B227" s="164" t="s">
        <v>58</v>
      </c>
      <c r="C227" s="58">
        <v>2</v>
      </c>
      <c r="D227" s="58">
        <v>3</v>
      </c>
      <c r="E227" s="58">
        <v>0</v>
      </c>
      <c r="F227" s="58">
        <v>4</v>
      </c>
      <c r="G227" s="58">
        <v>4</v>
      </c>
      <c r="H227" s="58">
        <v>2</v>
      </c>
      <c r="I227" s="58">
        <v>3</v>
      </c>
      <c r="J227" s="58">
        <v>3</v>
      </c>
      <c r="K227" s="59">
        <v>4</v>
      </c>
      <c r="L227" s="98"/>
      <c r="M227" s="61"/>
      <c r="N227" s="58"/>
      <c r="O227" s="58">
        <v>1</v>
      </c>
      <c r="P227" s="58" t="s">
        <v>58</v>
      </c>
      <c r="Q227" s="58" t="s">
        <v>58</v>
      </c>
      <c r="R227" s="58" t="s">
        <v>58</v>
      </c>
      <c r="S227" s="62"/>
      <c r="T227" s="73"/>
      <c r="U227" s="64"/>
      <c r="V227" s="65"/>
      <c r="W227" s="65">
        <f>(IF(B227="-",0,B227)*(24))</f>
        <v>0</v>
      </c>
      <c r="X227" s="70" t="s">
        <v>172</v>
      </c>
    </row>
    <row r="228" spans="1:24" s="56" customFormat="1" ht="15.75" customHeight="1">
      <c r="A228" s="71"/>
      <c r="B228" s="100"/>
      <c r="C228" s="58"/>
      <c r="D228" s="58"/>
      <c r="E228" s="58"/>
      <c r="F228" s="58"/>
      <c r="G228" s="58"/>
      <c r="H228" s="58"/>
      <c r="I228" s="58"/>
      <c r="J228" s="58"/>
      <c r="K228" s="59"/>
      <c r="L228" s="98"/>
      <c r="M228" s="61"/>
      <c r="N228" s="58"/>
      <c r="O228" s="59"/>
      <c r="P228" s="59"/>
      <c r="Q228" s="58"/>
      <c r="R228" s="59"/>
      <c r="S228" s="62"/>
      <c r="T228" s="43"/>
      <c r="U228" s="64"/>
      <c r="V228" s="65"/>
      <c r="W228" s="65"/>
      <c r="X228" s="80"/>
    </row>
    <row r="229" spans="1:24" s="56" customFormat="1" ht="15.75" customHeight="1">
      <c r="A229" s="67"/>
      <c r="B229" s="100"/>
      <c r="C229" s="58"/>
      <c r="D229" s="58"/>
      <c r="E229" s="58"/>
      <c r="F229" s="58"/>
      <c r="G229" s="58"/>
      <c r="H229" s="58"/>
      <c r="I229" s="58"/>
      <c r="J229" s="58"/>
      <c r="K229" s="59"/>
      <c r="L229" s="98"/>
      <c r="M229" s="61"/>
      <c r="N229" s="58"/>
      <c r="O229" s="59"/>
      <c r="P229" s="59"/>
      <c r="Q229" s="58"/>
      <c r="R229" s="59"/>
      <c r="S229" s="62"/>
      <c r="T229" s="43"/>
      <c r="U229" s="64"/>
      <c r="V229" s="65"/>
      <c r="W229" s="65"/>
      <c r="X229" s="80"/>
    </row>
    <row r="230" spans="1:24" s="56" customFormat="1" ht="24.75" customHeight="1">
      <c r="A230" s="129" t="s">
        <v>293</v>
      </c>
      <c r="B230" s="130" t="s">
        <v>265</v>
      </c>
      <c r="C230" s="131" t="s">
        <v>261</v>
      </c>
      <c r="D230" s="131" t="s">
        <v>139</v>
      </c>
      <c r="E230" s="131" t="s">
        <v>140</v>
      </c>
      <c r="F230" s="131" t="s">
        <v>38</v>
      </c>
      <c r="G230" s="131" t="s">
        <v>262</v>
      </c>
      <c r="H230" s="131" t="s">
        <v>141</v>
      </c>
      <c r="I230" s="131" t="s">
        <v>280</v>
      </c>
      <c r="J230" s="131" t="s">
        <v>281</v>
      </c>
      <c r="K230" s="131" t="s">
        <v>282</v>
      </c>
      <c r="L230" s="167"/>
      <c r="M230" s="168" t="s">
        <v>234</v>
      </c>
      <c r="N230" s="169"/>
      <c r="O230" s="131" t="s">
        <v>63</v>
      </c>
      <c r="P230" s="131" t="s">
        <v>135</v>
      </c>
      <c r="Q230" s="131" t="s">
        <v>136</v>
      </c>
      <c r="R230" s="131" t="s">
        <v>138</v>
      </c>
      <c r="S230" s="133" t="s">
        <v>149</v>
      </c>
      <c r="T230" s="131"/>
      <c r="U230" s="135" t="s">
        <v>137</v>
      </c>
      <c r="V230" s="30" t="s">
        <v>235</v>
      </c>
      <c r="W230" s="136" t="s">
        <v>289</v>
      </c>
      <c r="X230" s="135" t="s">
        <v>230</v>
      </c>
    </row>
    <row r="231" spans="1:24" s="56" customFormat="1" ht="15.75" customHeight="1">
      <c r="A231" s="170"/>
      <c r="B231" s="120"/>
      <c r="C231" s="120"/>
      <c r="D231" s="120"/>
      <c r="E231" s="120"/>
      <c r="F231" s="120"/>
      <c r="G231" s="120"/>
      <c r="H231" s="120"/>
      <c r="I231" s="120"/>
      <c r="J231" s="120"/>
      <c r="K231" s="121"/>
      <c r="L231" s="166"/>
      <c r="M231" s="123"/>
      <c r="N231" s="120"/>
      <c r="O231" s="120"/>
      <c r="P231" s="120"/>
      <c r="Q231" s="120"/>
      <c r="R231" s="121"/>
      <c r="S231" s="93"/>
      <c r="T231" s="94"/>
      <c r="U231" s="124"/>
      <c r="V231" s="125"/>
      <c r="W231" s="125"/>
      <c r="X231" s="90"/>
    </row>
    <row r="232" spans="1:24" s="56" customFormat="1" ht="15.75" customHeight="1">
      <c r="A232" s="67" t="s">
        <v>178</v>
      </c>
      <c r="B232" s="68" t="s">
        <v>58</v>
      </c>
      <c r="C232" s="58" t="s">
        <v>58</v>
      </c>
      <c r="D232" s="58" t="s">
        <v>58</v>
      </c>
      <c r="E232" s="58" t="s">
        <v>58</v>
      </c>
      <c r="F232" s="78" t="s">
        <v>85</v>
      </c>
      <c r="G232" s="120">
        <v>7</v>
      </c>
      <c r="H232" s="120">
        <v>3</v>
      </c>
      <c r="I232" s="58" t="s">
        <v>58</v>
      </c>
      <c r="J232" s="58" t="s">
        <v>58</v>
      </c>
      <c r="K232" s="58" t="s">
        <v>58</v>
      </c>
      <c r="L232" s="166"/>
      <c r="M232" s="171" t="s">
        <v>80</v>
      </c>
      <c r="N232" s="172"/>
      <c r="O232" s="120"/>
      <c r="P232" s="120"/>
      <c r="Q232" s="120"/>
      <c r="R232" s="121"/>
      <c r="S232" s="93"/>
      <c r="T232" s="94"/>
      <c r="U232" s="124"/>
      <c r="V232" s="125"/>
      <c r="W232" s="125">
        <f>IF(B232="-",0,B232)*(90+VLOOKUP(X236,Schaedel,$Z$352,FALSE))</f>
        <v>0</v>
      </c>
      <c r="X232" s="145" t="s">
        <v>81</v>
      </c>
    </row>
    <row r="233" spans="1:24" s="56" customFormat="1" ht="15.75" customHeight="1">
      <c r="A233" s="71" t="s">
        <v>181</v>
      </c>
      <c r="B233" s="100" t="str">
        <f>IF(B232="-","-",B232*3)</f>
        <v>-</v>
      </c>
      <c r="C233" s="58">
        <v>4</v>
      </c>
      <c r="D233" s="58">
        <v>2</v>
      </c>
      <c r="E233" s="58">
        <v>2</v>
      </c>
      <c r="F233" s="58">
        <v>3</v>
      </c>
      <c r="G233" s="58">
        <v>3</v>
      </c>
      <c r="H233" s="58">
        <v>1</v>
      </c>
      <c r="I233" s="58">
        <v>2</v>
      </c>
      <c r="J233" s="58">
        <v>1</v>
      </c>
      <c r="K233" s="59">
        <v>5</v>
      </c>
      <c r="L233" s="166"/>
      <c r="M233" s="123"/>
      <c r="N233" s="120"/>
      <c r="O233" s="58">
        <v>1</v>
      </c>
      <c r="P233" s="58" t="s">
        <v>58</v>
      </c>
      <c r="Q233" s="58" t="s">
        <v>204</v>
      </c>
      <c r="R233" s="58" t="s">
        <v>58</v>
      </c>
      <c r="S233" s="62" t="str">
        <f>VLOOKUP(T233,RW,$Z$293,FALSE)</f>
        <v>6+</v>
      </c>
      <c r="T233" s="69">
        <f>VLOOKUP(Q233,Ruestung,$Z$284,FALSE)+IF(R233=1,1,0)</f>
        <v>1</v>
      </c>
      <c r="U233" s="124"/>
      <c r="V233" s="125"/>
      <c r="W233" s="125"/>
      <c r="X233" s="144" t="s">
        <v>82</v>
      </c>
    </row>
    <row r="234" spans="1:24" s="56" customFormat="1" ht="15.75" customHeight="1">
      <c r="A234" s="173"/>
      <c r="B234" s="120"/>
      <c r="C234" s="120"/>
      <c r="D234" s="120"/>
      <c r="E234" s="120"/>
      <c r="F234" s="120"/>
      <c r="G234" s="120"/>
      <c r="H234" s="120"/>
      <c r="I234" s="120"/>
      <c r="J234" s="120"/>
      <c r="K234" s="121"/>
      <c r="L234" s="166"/>
      <c r="M234" s="123"/>
      <c r="N234" s="120"/>
      <c r="O234" s="120"/>
      <c r="P234" s="120"/>
      <c r="Q234" s="120"/>
      <c r="R234" s="121"/>
      <c r="S234" s="93"/>
      <c r="T234" s="94"/>
      <c r="U234" s="124"/>
      <c r="V234" s="125"/>
      <c r="W234" s="125"/>
      <c r="X234" s="70" t="s">
        <v>83</v>
      </c>
    </row>
    <row r="235" spans="1:24" s="56" customFormat="1" ht="15.75" customHeight="1">
      <c r="A235" s="119"/>
      <c r="B235" s="120"/>
      <c r="C235" s="120"/>
      <c r="D235" s="120"/>
      <c r="E235" s="120"/>
      <c r="F235" s="120"/>
      <c r="G235" s="120"/>
      <c r="H235" s="120"/>
      <c r="I235" s="120"/>
      <c r="J235" s="120"/>
      <c r="K235" s="121"/>
      <c r="L235" s="166"/>
      <c r="M235" s="123"/>
      <c r="N235" s="120"/>
      <c r="O235" s="120"/>
      <c r="P235" s="120"/>
      <c r="Q235" s="120"/>
      <c r="R235" s="121"/>
      <c r="S235" s="93"/>
      <c r="T235" s="94"/>
      <c r="U235" s="124"/>
      <c r="V235" s="125"/>
      <c r="W235" s="125"/>
      <c r="X235" s="90" t="s">
        <v>86</v>
      </c>
    </row>
    <row r="236" spans="1:24" s="56" customFormat="1" ht="15.75" customHeight="1">
      <c r="A236" s="119"/>
      <c r="B236" s="120"/>
      <c r="C236" s="120"/>
      <c r="D236" s="120"/>
      <c r="E236" s="120"/>
      <c r="F236" s="120"/>
      <c r="G236" s="120"/>
      <c r="H236" s="120"/>
      <c r="I236" s="120"/>
      <c r="J236" s="120"/>
      <c r="K236" s="121"/>
      <c r="L236" s="166"/>
      <c r="M236" s="123"/>
      <c r="N236" s="120"/>
      <c r="O236" s="121"/>
      <c r="P236" s="121"/>
      <c r="Q236" s="120"/>
      <c r="R236" s="121"/>
      <c r="S236" s="93"/>
      <c r="T236" s="103"/>
      <c r="U236" s="124"/>
      <c r="V236" s="125"/>
      <c r="W236" s="125"/>
      <c r="X236" s="105" t="s">
        <v>84</v>
      </c>
    </row>
    <row r="237" spans="1:24" s="56" customFormat="1" ht="15.75" customHeight="1">
      <c r="A237" s="119"/>
      <c r="B237" s="120"/>
      <c r="C237" s="120"/>
      <c r="D237" s="120"/>
      <c r="E237" s="120"/>
      <c r="F237" s="120"/>
      <c r="G237" s="120"/>
      <c r="H237" s="120"/>
      <c r="I237" s="120"/>
      <c r="J237" s="120"/>
      <c r="K237" s="121"/>
      <c r="L237" s="166"/>
      <c r="M237" s="123"/>
      <c r="N237" s="120"/>
      <c r="O237" s="121"/>
      <c r="P237" s="121"/>
      <c r="Q237" s="120"/>
      <c r="R237" s="121"/>
      <c r="S237" s="93"/>
      <c r="T237" s="103"/>
      <c r="U237" s="124"/>
      <c r="V237" s="125"/>
      <c r="W237" s="125"/>
      <c r="X237" s="90"/>
    </row>
    <row r="238" spans="1:24" s="56" customFormat="1" ht="15.75" customHeight="1">
      <c r="A238" s="119"/>
      <c r="B238" s="120"/>
      <c r="C238" s="120"/>
      <c r="D238" s="120"/>
      <c r="E238" s="120"/>
      <c r="F238" s="120"/>
      <c r="G238" s="120"/>
      <c r="H238" s="120"/>
      <c r="I238" s="120"/>
      <c r="J238" s="120"/>
      <c r="K238" s="121"/>
      <c r="L238" s="166"/>
      <c r="M238" s="123"/>
      <c r="N238" s="120"/>
      <c r="O238" s="121"/>
      <c r="P238" s="121"/>
      <c r="Q238" s="120"/>
      <c r="R238" s="121"/>
      <c r="S238" s="93"/>
      <c r="T238" s="103"/>
      <c r="U238" s="124"/>
      <c r="V238" s="125"/>
      <c r="W238" s="125"/>
      <c r="X238" s="90"/>
    </row>
    <row r="239" spans="1:24" s="56" customFormat="1" ht="15.75" customHeight="1">
      <c r="A239" s="57" t="s">
        <v>182</v>
      </c>
      <c r="B239" s="68" t="s">
        <v>58</v>
      </c>
      <c r="C239" s="58" t="s">
        <v>58</v>
      </c>
      <c r="D239" s="58" t="s">
        <v>58</v>
      </c>
      <c r="E239" s="58" t="s">
        <v>58</v>
      </c>
      <c r="F239" s="58" t="s">
        <v>58</v>
      </c>
      <c r="G239" s="120">
        <v>10</v>
      </c>
      <c r="H239" s="120">
        <v>3</v>
      </c>
      <c r="I239" s="58" t="s">
        <v>58</v>
      </c>
      <c r="J239" s="58" t="s">
        <v>58</v>
      </c>
      <c r="K239" s="58" t="s">
        <v>58</v>
      </c>
      <c r="L239" s="166"/>
      <c r="M239" s="123"/>
      <c r="N239" s="120"/>
      <c r="O239" s="121"/>
      <c r="P239" s="121"/>
      <c r="Q239" s="120"/>
      <c r="R239" s="121"/>
      <c r="S239" s="93"/>
      <c r="T239" s="103"/>
      <c r="U239" s="124"/>
      <c r="V239" s="125"/>
      <c r="W239" s="125">
        <f>IF(B239="-",0,B239)*135</f>
        <v>0</v>
      </c>
      <c r="X239" s="137" t="s">
        <v>309</v>
      </c>
    </row>
    <row r="240" spans="1:24" s="56" customFormat="1" ht="15.75" customHeight="1">
      <c r="A240" s="67" t="s">
        <v>180</v>
      </c>
      <c r="B240" s="100" t="str">
        <f>IF(B239="-","-",B239*1)</f>
        <v>-</v>
      </c>
      <c r="C240" s="58">
        <v>4</v>
      </c>
      <c r="D240" s="58">
        <v>3</v>
      </c>
      <c r="E240" s="58">
        <v>3</v>
      </c>
      <c r="F240" s="58">
        <v>3</v>
      </c>
      <c r="G240" s="58">
        <v>3</v>
      </c>
      <c r="H240" s="58">
        <v>1</v>
      </c>
      <c r="I240" s="58">
        <v>3</v>
      </c>
      <c r="J240" s="58">
        <v>2</v>
      </c>
      <c r="K240" s="59">
        <v>8</v>
      </c>
      <c r="L240" s="166"/>
      <c r="M240" s="123"/>
      <c r="N240" s="120"/>
      <c r="O240" s="58">
        <v>1</v>
      </c>
      <c r="P240" s="58" t="s">
        <v>58</v>
      </c>
      <c r="Q240" s="58" t="s">
        <v>204</v>
      </c>
      <c r="R240" s="58" t="s">
        <v>58</v>
      </c>
      <c r="S240" s="62" t="str">
        <f>VLOOKUP(T240,RW,$Z$293,FALSE)</f>
        <v>6+</v>
      </c>
      <c r="T240" s="69">
        <f>VLOOKUP(Q240,Ruestung,$Z$284,FALSE)+IF(R240=1,1,0)</f>
        <v>1</v>
      </c>
      <c r="U240" s="124"/>
      <c r="V240" s="125"/>
      <c r="W240" s="125"/>
      <c r="X240" s="70" t="s">
        <v>307</v>
      </c>
    </row>
    <row r="241" spans="1:24" s="56" customFormat="1" ht="15.75" customHeight="1">
      <c r="A241" s="119" t="s">
        <v>179</v>
      </c>
      <c r="B241" s="120" t="str">
        <f>IF(B239="-","-",B239*2)</f>
        <v>-</v>
      </c>
      <c r="C241" s="58">
        <v>4</v>
      </c>
      <c r="D241" s="58">
        <v>3</v>
      </c>
      <c r="E241" s="58">
        <v>3</v>
      </c>
      <c r="F241" s="58">
        <v>3</v>
      </c>
      <c r="G241" s="58">
        <v>3</v>
      </c>
      <c r="H241" s="58">
        <v>1</v>
      </c>
      <c r="I241" s="58">
        <v>3</v>
      </c>
      <c r="J241" s="58">
        <v>2</v>
      </c>
      <c r="K241" s="59">
        <v>8</v>
      </c>
      <c r="L241" s="166"/>
      <c r="M241" s="123"/>
      <c r="N241" s="120"/>
      <c r="O241" s="58">
        <v>1</v>
      </c>
      <c r="P241" s="58">
        <v>1</v>
      </c>
      <c r="Q241" s="58" t="s">
        <v>204</v>
      </c>
      <c r="R241" s="58" t="s">
        <v>58</v>
      </c>
      <c r="S241" s="62" t="str">
        <f>VLOOKUP(T241,RW,$Z$293,FALSE)</f>
        <v>6+</v>
      </c>
      <c r="T241" s="69">
        <f>VLOOKUP(Q241,Ruestung,$Z$284,FALSE)+IF(R241=1,1,0)</f>
        <v>1</v>
      </c>
      <c r="U241" s="124"/>
      <c r="V241" s="125"/>
      <c r="W241" s="125"/>
      <c r="X241" s="70" t="s">
        <v>308</v>
      </c>
    </row>
    <row r="242" spans="1:24" s="56" customFormat="1" ht="15.75" customHeight="1">
      <c r="A242" s="119"/>
      <c r="B242" s="120"/>
      <c r="C242" s="120"/>
      <c r="D242" s="120"/>
      <c r="E242" s="120"/>
      <c r="F242" s="120"/>
      <c r="G242" s="120"/>
      <c r="H242" s="120"/>
      <c r="I242" s="120"/>
      <c r="J242" s="120"/>
      <c r="K242" s="121"/>
      <c r="L242" s="166"/>
      <c r="M242" s="123"/>
      <c r="N242" s="120"/>
      <c r="O242" s="121"/>
      <c r="P242" s="121"/>
      <c r="Q242" s="120"/>
      <c r="R242" s="121"/>
      <c r="S242" s="93"/>
      <c r="T242" s="103"/>
      <c r="U242" s="124"/>
      <c r="V242" s="125"/>
      <c r="W242" s="125"/>
      <c r="X242" s="90" t="s">
        <v>315</v>
      </c>
    </row>
    <row r="243" spans="1:24" s="56" customFormat="1" ht="15.75" customHeight="1">
      <c r="A243" s="119"/>
      <c r="B243" s="120"/>
      <c r="C243" s="120"/>
      <c r="D243" s="120"/>
      <c r="E243" s="120"/>
      <c r="F243" s="120"/>
      <c r="G243" s="120"/>
      <c r="H243" s="120"/>
      <c r="I243" s="120"/>
      <c r="J243" s="120"/>
      <c r="K243" s="121"/>
      <c r="L243" s="166"/>
      <c r="M243" s="123"/>
      <c r="N243" s="120"/>
      <c r="O243" s="121"/>
      <c r="P243" s="121"/>
      <c r="Q243" s="120"/>
      <c r="R243" s="121"/>
      <c r="S243" s="93"/>
      <c r="T243" s="103"/>
      <c r="U243" s="124"/>
      <c r="V243" s="125"/>
      <c r="W243" s="125"/>
      <c r="X243" s="90" t="s">
        <v>310</v>
      </c>
    </row>
    <row r="244" spans="1:24" s="56" customFormat="1" ht="15.75" customHeight="1">
      <c r="A244" s="119"/>
      <c r="B244" s="120"/>
      <c r="C244" s="120"/>
      <c r="D244" s="120"/>
      <c r="E244" s="120"/>
      <c r="F244" s="120"/>
      <c r="G244" s="120"/>
      <c r="H244" s="120"/>
      <c r="I244" s="120"/>
      <c r="J244" s="120"/>
      <c r="K244" s="121"/>
      <c r="L244" s="166"/>
      <c r="M244" s="123"/>
      <c r="N244" s="120"/>
      <c r="O244" s="121"/>
      <c r="P244" s="121"/>
      <c r="Q244" s="120"/>
      <c r="R244" s="121"/>
      <c r="S244" s="93"/>
      <c r="T244" s="103"/>
      <c r="U244" s="124"/>
      <c r="V244" s="125"/>
      <c r="W244" s="125"/>
      <c r="X244" s="90" t="s">
        <v>311</v>
      </c>
    </row>
    <row r="245" spans="1:24" s="56" customFormat="1" ht="15.75" customHeight="1">
      <c r="A245" s="119"/>
      <c r="B245" s="120"/>
      <c r="C245" s="120"/>
      <c r="D245" s="120"/>
      <c r="E245" s="120"/>
      <c r="F245" s="120"/>
      <c r="G245" s="120"/>
      <c r="H245" s="120"/>
      <c r="I245" s="120"/>
      <c r="J245" s="120"/>
      <c r="K245" s="121"/>
      <c r="L245" s="166"/>
      <c r="M245" s="123"/>
      <c r="N245" s="120"/>
      <c r="O245" s="121"/>
      <c r="P245" s="121"/>
      <c r="Q245" s="120"/>
      <c r="R245" s="121"/>
      <c r="S245" s="93"/>
      <c r="T245" s="103"/>
      <c r="U245" s="124"/>
      <c r="V245" s="125"/>
      <c r="W245" s="125"/>
      <c r="X245" s="90" t="s">
        <v>312</v>
      </c>
    </row>
    <row r="246" spans="1:24" s="56" customFormat="1" ht="15.75" customHeight="1">
      <c r="A246" s="119"/>
      <c r="B246" s="120"/>
      <c r="C246" s="120"/>
      <c r="D246" s="120"/>
      <c r="E246" s="120"/>
      <c r="F246" s="120"/>
      <c r="G246" s="120"/>
      <c r="H246" s="120"/>
      <c r="I246" s="120"/>
      <c r="J246" s="120"/>
      <c r="K246" s="121"/>
      <c r="L246" s="166"/>
      <c r="M246" s="123"/>
      <c r="N246" s="120"/>
      <c r="O246" s="121"/>
      <c r="P246" s="121"/>
      <c r="Q246" s="120"/>
      <c r="R246" s="121"/>
      <c r="S246" s="93"/>
      <c r="T246" s="103"/>
      <c r="U246" s="124"/>
      <c r="V246" s="125"/>
      <c r="W246" s="125"/>
      <c r="X246" s="90" t="s">
        <v>313</v>
      </c>
    </row>
    <row r="247" spans="1:24" s="56" customFormat="1" ht="15.75" customHeight="1">
      <c r="A247" s="119"/>
      <c r="B247" s="120"/>
      <c r="C247" s="120"/>
      <c r="D247" s="120"/>
      <c r="E247" s="120"/>
      <c r="F247" s="120"/>
      <c r="G247" s="120"/>
      <c r="H247" s="120"/>
      <c r="I247" s="120"/>
      <c r="J247" s="120"/>
      <c r="K247" s="121"/>
      <c r="L247" s="166"/>
      <c r="M247" s="123"/>
      <c r="N247" s="120"/>
      <c r="O247" s="121"/>
      <c r="P247" s="121"/>
      <c r="Q247" s="120"/>
      <c r="R247" s="121"/>
      <c r="S247" s="93"/>
      <c r="T247" s="103"/>
      <c r="U247" s="124"/>
      <c r="V247" s="125"/>
      <c r="W247" s="125"/>
      <c r="X247" s="90" t="s">
        <v>314</v>
      </c>
    </row>
    <row r="248" spans="1:24" s="56" customFormat="1" ht="15.75" customHeight="1">
      <c r="A248" s="119"/>
      <c r="B248" s="120"/>
      <c r="C248" s="120"/>
      <c r="D248" s="120"/>
      <c r="E248" s="120"/>
      <c r="F248" s="120"/>
      <c r="G248" s="120"/>
      <c r="H248" s="120"/>
      <c r="I248" s="120"/>
      <c r="J248" s="120"/>
      <c r="K248" s="121"/>
      <c r="L248" s="166"/>
      <c r="M248" s="123"/>
      <c r="N248" s="120"/>
      <c r="O248" s="121"/>
      <c r="P248" s="121"/>
      <c r="Q248" s="120"/>
      <c r="R248" s="121"/>
      <c r="S248" s="93"/>
      <c r="T248" s="103"/>
      <c r="U248" s="124"/>
      <c r="V248" s="125"/>
      <c r="W248" s="125"/>
      <c r="X248" s="90"/>
    </row>
    <row r="249" spans="1:24" s="56" customFormat="1" ht="15.75" customHeight="1">
      <c r="A249" s="67"/>
      <c r="B249" s="100"/>
      <c r="C249" s="58"/>
      <c r="D249" s="58"/>
      <c r="E249" s="58"/>
      <c r="F249" s="58"/>
      <c r="G249" s="58"/>
      <c r="H249" s="58"/>
      <c r="I249" s="58"/>
      <c r="J249" s="58"/>
      <c r="K249" s="59"/>
      <c r="L249" s="98"/>
      <c r="M249" s="61"/>
      <c r="N249" s="58"/>
      <c r="O249" s="59"/>
      <c r="P249" s="59"/>
      <c r="Q249" s="58"/>
      <c r="R249" s="59"/>
      <c r="S249" s="62"/>
      <c r="T249" s="43"/>
      <c r="U249" s="64"/>
      <c r="V249" s="65"/>
      <c r="W249" s="65"/>
      <c r="X249" s="70"/>
    </row>
    <row r="250" spans="1:26" s="56" customFormat="1" ht="24.75" customHeight="1">
      <c r="A250" s="157" t="s">
        <v>222</v>
      </c>
      <c r="B250" s="158" t="s">
        <v>265</v>
      </c>
      <c r="C250" s="159" t="s">
        <v>261</v>
      </c>
      <c r="D250" s="159" t="s">
        <v>139</v>
      </c>
      <c r="E250" s="159" t="s">
        <v>140</v>
      </c>
      <c r="F250" s="159" t="s">
        <v>38</v>
      </c>
      <c r="G250" s="159" t="s">
        <v>262</v>
      </c>
      <c r="H250" s="159" t="s">
        <v>141</v>
      </c>
      <c r="I250" s="159" t="s">
        <v>280</v>
      </c>
      <c r="J250" s="159" t="s">
        <v>281</v>
      </c>
      <c r="K250" s="159" t="s">
        <v>282</v>
      </c>
      <c r="L250" s="160"/>
      <c r="M250" s="159" t="s">
        <v>237</v>
      </c>
      <c r="N250" s="159" t="s">
        <v>238</v>
      </c>
      <c r="O250" s="159" t="s">
        <v>63</v>
      </c>
      <c r="P250" s="159" t="s">
        <v>135</v>
      </c>
      <c r="Q250" s="159" t="s">
        <v>136</v>
      </c>
      <c r="R250" s="159" t="s">
        <v>138</v>
      </c>
      <c r="S250" s="161" t="s">
        <v>149</v>
      </c>
      <c r="T250" s="159"/>
      <c r="U250" s="162" t="s">
        <v>137</v>
      </c>
      <c r="V250" s="30" t="s">
        <v>199</v>
      </c>
      <c r="W250" s="163" t="s">
        <v>289</v>
      </c>
      <c r="X250" s="30" t="s">
        <v>230</v>
      </c>
      <c r="Y250" s="54" t="s">
        <v>131</v>
      </c>
      <c r="Z250" s="55">
        <f>SUM(W251:W274)+SUM(W231:W249)</f>
        <v>0</v>
      </c>
    </row>
    <row r="251" spans="1:24" s="56" customFormat="1" ht="15.75" customHeight="1">
      <c r="A251" s="57"/>
      <c r="B251" s="58"/>
      <c r="C251" s="58"/>
      <c r="D251" s="58"/>
      <c r="E251" s="58"/>
      <c r="F251" s="58"/>
      <c r="G251" s="58"/>
      <c r="H251" s="58"/>
      <c r="I251" s="58"/>
      <c r="J251" s="58"/>
      <c r="K251" s="59"/>
      <c r="L251" s="98"/>
      <c r="M251" s="61"/>
      <c r="N251" s="58"/>
      <c r="O251" s="58"/>
      <c r="P251" s="58"/>
      <c r="Q251" s="58"/>
      <c r="R251" s="59"/>
      <c r="S251" s="62"/>
      <c r="T251" s="43"/>
      <c r="U251" s="64"/>
      <c r="V251" s="65"/>
      <c r="W251" s="65"/>
      <c r="X251" s="75"/>
    </row>
    <row r="252" spans="1:24" s="56" customFormat="1" ht="15.75" customHeight="1">
      <c r="A252" s="71" t="s">
        <v>183</v>
      </c>
      <c r="B252" s="68" t="s">
        <v>58</v>
      </c>
      <c r="C252" s="58">
        <v>6</v>
      </c>
      <c r="D252" s="58">
        <v>3</v>
      </c>
      <c r="E252" s="58">
        <v>2</v>
      </c>
      <c r="F252" s="58">
        <v>6</v>
      </c>
      <c r="G252" s="58">
        <v>6</v>
      </c>
      <c r="H252" s="58">
        <v>5</v>
      </c>
      <c r="I252" s="58">
        <v>1</v>
      </c>
      <c r="J252" s="58">
        <v>4</v>
      </c>
      <c r="K252" s="59">
        <v>8</v>
      </c>
      <c r="L252" s="166"/>
      <c r="M252" s="123"/>
      <c r="N252" s="120"/>
      <c r="O252" s="68">
        <v>1</v>
      </c>
      <c r="P252" s="68" t="s">
        <v>58</v>
      </c>
      <c r="Q252" s="58" t="s">
        <v>58</v>
      </c>
      <c r="R252" s="58" t="s">
        <v>58</v>
      </c>
      <c r="S252" s="62" t="s">
        <v>207</v>
      </c>
      <c r="T252" s="73"/>
      <c r="U252" s="64"/>
      <c r="V252" s="65"/>
      <c r="W252" s="65">
        <f>IF(B252="-",0,B252)*(170+IF(O252=2,5,0)+IF(P252=1,10,0)+VLOOKUP(X256,Nekrolithkoloss,$Z$341,FALSE))</f>
        <v>0</v>
      </c>
      <c r="X252" s="70" t="s">
        <v>332</v>
      </c>
    </row>
    <row r="253" spans="1:24" s="56" customFormat="1" ht="15.75" customHeight="1">
      <c r="A253" s="173"/>
      <c r="B253" s="120"/>
      <c r="C253" s="120"/>
      <c r="D253" s="120"/>
      <c r="E253" s="120"/>
      <c r="F253" s="120"/>
      <c r="G253" s="120"/>
      <c r="H253" s="120"/>
      <c r="I253" s="120"/>
      <c r="J253" s="120"/>
      <c r="K253" s="121"/>
      <c r="L253" s="166"/>
      <c r="M253" s="123"/>
      <c r="N253" s="120"/>
      <c r="O253" s="58"/>
      <c r="P253" s="58"/>
      <c r="Q253" s="58"/>
      <c r="R253" s="58" t="s">
        <v>58</v>
      </c>
      <c r="S253" s="62"/>
      <c r="T253" s="73"/>
      <c r="U253" s="64"/>
      <c r="V253" s="65"/>
      <c r="W253" s="65"/>
      <c r="X253" s="70" t="s">
        <v>196</v>
      </c>
    </row>
    <row r="254" spans="1:24" s="56" customFormat="1" ht="15.75" customHeight="1">
      <c r="A254" s="173"/>
      <c r="B254" s="120"/>
      <c r="C254" s="120"/>
      <c r="D254" s="120"/>
      <c r="E254" s="120"/>
      <c r="F254" s="120"/>
      <c r="G254" s="120"/>
      <c r="H254" s="120"/>
      <c r="I254" s="120"/>
      <c r="J254" s="120"/>
      <c r="K254" s="121"/>
      <c r="L254" s="166"/>
      <c r="M254" s="123"/>
      <c r="N254" s="120"/>
      <c r="O254" s="120"/>
      <c r="P254" s="120"/>
      <c r="Q254" s="120"/>
      <c r="R254" s="121"/>
      <c r="S254" s="62"/>
      <c r="T254" s="73"/>
      <c r="U254" s="64"/>
      <c r="V254" s="65"/>
      <c r="W254" s="65"/>
      <c r="X254" s="75" t="s">
        <v>173</v>
      </c>
    </row>
    <row r="255" spans="1:24" s="56" customFormat="1" ht="15.75" customHeight="1">
      <c r="A255" s="173"/>
      <c r="B255" s="120"/>
      <c r="C255" s="120"/>
      <c r="D255" s="120"/>
      <c r="E255" s="120"/>
      <c r="F255" s="120"/>
      <c r="G255" s="120"/>
      <c r="H255" s="120"/>
      <c r="I255" s="120"/>
      <c r="J255" s="120"/>
      <c r="K255" s="121"/>
      <c r="L255" s="166"/>
      <c r="M255" s="123"/>
      <c r="N255" s="120"/>
      <c r="O255" s="120"/>
      <c r="P255" s="120"/>
      <c r="Q255" s="120"/>
      <c r="R255" s="121"/>
      <c r="S255" s="93"/>
      <c r="T255" s="174"/>
      <c r="U255" s="124"/>
      <c r="V255" s="125"/>
      <c r="W255" s="125"/>
      <c r="X255" s="90" t="s">
        <v>175</v>
      </c>
    </row>
    <row r="256" spans="1:24" s="56" customFormat="1" ht="15.75" customHeight="1">
      <c r="A256" s="119"/>
      <c r="B256" s="120"/>
      <c r="C256" s="120"/>
      <c r="D256" s="120"/>
      <c r="E256" s="120"/>
      <c r="F256" s="120"/>
      <c r="G256" s="120"/>
      <c r="H256" s="120"/>
      <c r="I256" s="120"/>
      <c r="J256" s="120"/>
      <c r="K256" s="121"/>
      <c r="L256" s="166"/>
      <c r="M256" s="123"/>
      <c r="N256" s="120"/>
      <c r="O256" s="120"/>
      <c r="P256" s="120"/>
      <c r="Q256" s="120"/>
      <c r="R256" s="121"/>
      <c r="S256" s="93"/>
      <c r="T256" s="174"/>
      <c r="U256" s="124"/>
      <c r="V256" s="125"/>
      <c r="W256" s="125"/>
      <c r="X256" s="105" t="s">
        <v>330</v>
      </c>
    </row>
    <row r="257" spans="1:24" s="56" customFormat="1" ht="15.75" customHeight="1">
      <c r="A257" s="173"/>
      <c r="B257" s="120"/>
      <c r="C257" s="120"/>
      <c r="D257" s="120"/>
      <c r="E257" s="120"/>
      <c r="F257" s="120"/>
      <c r="G257" s="120"/>
      <c r="H257" s="120"/>
      <c r="I257" s="120"/>
      <c r="J257" s="120"/>
      <c r="K257" s="121"/>
      <c r="L257" s="166"/>
      <c r="M257" s="123"/>
      <c r="N257" s="120"/>
      <c r="O257" s="120"/>
      <c r="P257" s="120"/>
      <c r="Q257" s="120"/>
      <c r="R257" s="121"/>
      <c r="S257" s="93"/>
      <c r="T257" s="174"/>
      <c r="U257" s="124"/>
      <c r="V257" s="125"/>
      <c r="W257" s="125"/>
      <c r="X257" s="70" t="s">
        <v>176</v>
      </c>
    </row>
    <row r="258" spans="1:24" s="56" customFormat="1" ht="15.75" customHeight="1">
      <c r="A258" s="170"/>
      <c r="B258" s="120"/>
      <c r="C258" s="120"/>
      <c r="D258" s="120"/>
      <c r="E258" s="120"/>
      <c r="F258" s="120"/>
      <c r="G258" s="120"/>
      <c r="H258" s="120"/>
      <c r="I258" s="120"/>
      <c r="J258" s="120"/>
      <c r="K258" s="121"/>
      <c r="L258" s="166"/>
      <c r="M258" s="123"/>
      <c r="N258" s="120"/>
      <c r="O258" s="120"/>
      <c r="P258" s="120"/>
      <c r="Q258" s="120"/>
      <c r="R258" s="121"/>
      <c r="S258" s="93"/>
      <c r="T258" s="174"/>
      <c r="U258" s="124"/>
      <c r="V258" s="125"/>
      <c r="W258" s="125"/>
      <c r="X258" s="70"/>
    </row>
    <row r="259" spans="1:24" s="56" customFormat="1" ht="15.75" customHeight="1">
      <c r="A259" s="173"/>
      <c r="B259" s="120"/>
      <c r="C259" s="120"/>
      <c r="D259" s="120"/>
      <c r="E259" s="120"/>
      <c r="F259" s="120"/>
      <c r="G259" s="120"/>
      <c r="H259" s="120"/>
      <c r="I259" s="120"/>
      <c r="J259" s="120"/>
      <c r="K259" s="121"/>
      <c r="L259" s="166"/>
      <c r="M259" s="123"/>
      <c r="N259" s="120"/>
      <c r="O259" s="120"/>
      <c r="P259" s="120"/>
      <c r="Q259" s="120"/>
      <c r="R259" s="121"/>
      <c r="S259" s="93"/>
      <c r="T259" s="174"/>
      <c r="U259" s="124"/>
      <c r="V259" s="125"/>
      <c r="W259" s="125"/>
      <c r="X259" s="70"/>
    </row>
    <row r="260" spans="1:24" s="56" customFormat="1" ht="15.75" customHeight="1">
      <c r="A260" s="71" t="s">
        <v>184</v>
      </c>
      <c r="B260" s="68" t="s">
        <v>58</v>
      </c>
      <c r="C260" s="58">
        <v>6</v>
      </c>
      <c r="D260" s="58">
        <v>3</v>
      </c>
      <c r="E260" s="58">
        <v>0</v>
      </c>
      <c r="F260" s="58">
        <v>6</v>
      </c>
      <c r="G260" s="58">
        <v>6</v>
      </c>
      <c r="H260" s="58">
        <v>5</v>
      </c>
      <c r="I260" s="58">
        <v>1</v>
      </c>
      <c r="J260" s="58">
        <v>3</v>
      </c>
      <c r="K260" s="59">
        <v>8</v>
      </c>
      <c r="L260" s="166"/>
      <c r="M260" s="123"/>
      <c r="N260" s="120"/>
      <c r="O260" s="58">
        <v>1</v>
      </c>
      <c r="P260" s="58" t="s">
        <v>58</v>
      </c>
      <c r="Q260" s="58" t="s">
        <v>58</v>
      </c>
      <c r="R260" s="58" t="s">
        <v>58</v>
      </c>
      <c r="S260" s="62" t="s">
        <v>207</v>
      </c>
      <c r="T260" s="73"/>
      <c r="U260" s="64"/>
      <c r="V260" s="65"/>
      <c r="W260" s="65">
        <f>IF(B260="-",0,B260)*(175)</f>
        <v>0</v>
      </c>
      <c r="X260" s="70" t="s">
        <v>332</v>
      </c>
    </row>
    <row r="261" spans="1:24" s="56" customFormat="1" ht="15.75" customHeight="1">
      <c r="A261" s="173"/>
      <c r="B261" s="120"/>
      <c r="C261" s="120"/>
      <c r="D261" s="120"/>
      <c r="E261" s="120"/>
      <c r="F261" s="120"/>
      <c r="G261" s="120"/>
      <c r="H261" s="120"/>
      <c r="I261" s="120"/>
      <c r="J261" s="120"/>
      <c r="K261" s="121"/>
      <c r="L261" s="166"/>
      <c r="M261" s="123"/>
      <c r="N261" s="120"/>
      <c r="O261" s="120"/>
      <c r="P261" s="120"/>
      <c r="Q261" s="120"/>
      <c r="R261" s="121"/>
      <c r="S261" s="93"/>
      <c r="T261" s="174"/>
      <c r="U261" s="124"/>
      <c r="V261" s="125"/>
      <c r="W261" s="125"/>
      <c r="X261" s="70" t="s">
        <v>72</v>
      </c>
    </row>
    <row r="262" spans="1:24" s="56" customFormat="1" ht="15.75" customHeight="1">
      <c r="A262" s="173"/>
      <c r="B262" s="120"/>
      <c r="C262" s="120"/>
      <c r="D262" s="120"/>
      <c r="E262" s="120"/>
      <c r="F262" s="120"/>
      <c r="G262" s="120"/>
      <c r="H262" s="120"/>
      <c r="I262" s="120"/>
      <c r="J262" s="120"/>
      <c r="K262" s="121"/>
      <c r="L262" s="166"/>
      <c r="M262" s="123"/>
      <c r="N262" s="120"/>
      <c r="O262" s="120"/>
      <c r="P262" s="120"/>
      <c r="Q262" s="120"/>
      <c r="R262" s="121"/>
      <c r="S262" s="93"/>
      <c r="T262" s="174"/>
      <c r="U262" s="124"/>
      <c r="V262" s="125"/>
      <c r="W262" s="125"/>
      <c r="X262" s="175" t="s">
        <v>119</v>
      </c>
    </row>
    <row r="263" spans="1:24" s="56" customFormat="1" ht="15.75" customHeight="1">
      <c r="A263" s="173"/>
      <c r="B263" s="120"/>
      <c r="C263" s="120"/>
      <c r="D263" s="120"/>
      <c r="E263" s="120"/>
      <c r="F263" s="120"/>
      <c r="G263" s="120"/>
      <c r="H263" s="120"/>
      <c r="I263" s="120"/>
      <c r="J263" s="120"/>
      <c r="K263" s="121"/>
      <c r="L263" s="166"/>
      <c r="M263" s="123"/>
      <c r="N263" s="120"/>
      <c r="O263" s="120"/>
      <c r="P263" s="120"/>
      <c r="Q263" s="120"/>
      <c r="R263" s="121"/>
      <c r="S263" s="93"/>
      <c r="T263" s="174"/>
      <c r="U263" s="124"/>
      <c r="V263" s="125"/>
      <c r="W263" s="125"/>
      <c r="X263" s="175" t="s">
        <v>121</v>
      </c>
    </row>
    <row r="264" spans="1:24" s="56" customFormat="1" ht="15.75" customHeight="1">
      <c r="A264" s="173"/>
      <c r="B264" s="120"/>
      <c r="C264" s="120"/>
      <c r="D264" s="120"/>
      <c r="E264" s="120"/>
      <c r="F264" s="120"/>
      <c r="G264" s="120"/>
      <c r="H264" s="120"/>
      <c r="I264" s="120"/>
      <c r="J264" s="120"/>
      <c r="K264" s="121"/>
      <c r="L264" s="166"/>
      <c r="M264" s="123"/>
      <c r="N264" s="120"/>
      <c r="O264" s="120"/>
      <c r="P264" s="120"/>
      <c r="Q264" s="120"/>
      <c r="R264" s="121"/>
      <c r="S264" s="93"/>
      <c r="T264" s="174"/>
      <c r="U264" s="124"/>
      <c r="V264" s="125"/>
      <c r="W264" s="125"/>
      <c r="X264" s="137" t="s">
        <v>120</v>
      </c>
    </row>
    <row r="265" spans="1:24" s="56" customFormat="1" ht="15.75" customHeight="1">
      <c r="A265" s="173"/>
      <c r="B265" s="120"/>
      <c r="C265" s="120"/>
      <c r="D265" s="120"/>
      <c r="E265" s="120"/>
      <c r="F265" s="120"/>
      <c r="G265" s="120"/>
      <c r="H265" s="120"/>
      <c r="I265" s="120"/>
      <c r="J265" s="120"/>
      <c r="K265" s="121"/>
      <c r="L265" s="166"/>
      <c r="M265" s="123"/>
      <c r="N265" s="120"/>
      <c r="O265" s="120"/>
      <c r="P265" s="120"/>
      <c r="Q265" s="120"/>
      <c r="R265" s="121"/>
      <c r="S265" s="93"/>
      <c r="T265" s="174"/>
      <c r="U265" s="124"/>
      <c r="V265" s="125"/>
      <c r="W265" s="125"/>
      <c r="X265" s="70" t="s">
        <v>176</v>
      </c>
    </row>
    <row r="266" spans="1:24" s="56" customFormat="1" ht="15.75" customHeight="1">
      <c r="A266" s="170"/>
      <c r="B266" s="120"/>
      <c r="C266" s="120"/>
      <c r="D266" s="120"/>
      <c r="E266" s="120"/>
      <c r="F266" s="120"/>
      <c r="G266" s="120"/>
      <c r="H266" s="120"/>
      <c r="I266" s="120"/>
      <c r="J266" s="120"/>
      <c r="K266" s="121"/>
      <c r="L266" s="166"/>
      <c r="M266" s="123"/>
      <c r="N266" s="120"/>
      <c r="O266" s="120"/>
      <c r="P266" s="120"/>
      <c r="Q266" s="120"/>
      <c r="R266" s="121"/>
      <c r="S266" s="93"/>
      <c r="T266" s="174"/>
      <c r="U266" s="124"/>
      <c r="V266" s="125"/>
      <c r="W266" s="125"/>
      <c r="X266" s="70"/>
    </row>
    <row r="267" spans="1:24" s="56" customFormat="1" ht="15.75" customHeight="1">
      <c r="A267" s="173"/>
      <c r="B267" s="120"/>
      <c r="C267" s="120"/>
      <c r="D267" s="120"/>
      <c r="E267" s="120"/>
      <c r="F267" s="120"/>
      <c r="G267" s="120"/>
      <c r="H267" s="120"/>
      <c r="I267" s="120"/>
      <c r="J267" s="120"/>
      <c r="K267" s="121"/>
      <c r="L267" s="166"/>
      <c r="M267" s="123"/>
      <c r="N267" s="120"/>
      <c r="O267" s="120"/>
      <c r="P267" s="120"/>
      <c r="Q267" s="120"/>
      <c r="R267" s="121"/>
      <c r="S267" s="93"/>
      <c r="T267" s="174"/>
      <c r="U267" s="124"/>
      <c r="V267" s="125"/>
      <c r="W267" s="125"/>
      <c r="X267" s="70"/>
    </row>
    <row r="268" spans="1:24" s="56" customFormat="1" ht="15.75" customHeight="1">
      <c r="A268" s="71" t="s">
        <v>185</v>
      </c>
      <c r="B268" s="68" t="s">
        <v>58</v>
      </c>
      <c r="C268" s="58">
        <v>6</v>
      </c>
      <c r="D268" s="58">
        <v>4</v>
      </c>
      <c r="E268" s="58">
        <v>0</v>
      </c>
      <c r="F268" s="58">
        <v>5</v>
      </c>
      <c r="G268" s="58">
        <v>8</v>
      </c>
      <c r="H268" s="58">
        <v>5</v>
      </c>
      <c r="I268" s="58">
        <v>1</v>
      </c>
      <c r="J268" s="58">
        <v>5</v>
      </c>
      <c r="K268" s="59">
        <v>8</v>
      </c>
      <c r="L268" s="166"/>
      <c r="M268" s="123"/>
      <c r="N268" s="120"/>
      <c r="O268" s="58">
        <v>1</v>
      </c>
      <c r="P268" s="58" t="s">
        <v>58</v>
      </c>
      <c r="Q268" s="58" t="s">
        <v>58</v>
      </c>
      <c r="R268" s="58" t="s">
        <v>58</v>
      </c>
      <c r="S268" s="62" t="s">
        <v>207</v>
      </c>
      <c r="T268" s="73"/>
      <c r="U268" s="64"/>
      <c r="V268" s="65"/>
      <c r="W268" s="65">
        <f>IF(B268="-",0,B268)*(225+VLOOKUP(X271,Sphinx,$Z$346,FALSE))</f>
        <v>0</v>
      </c>
      <c r="X268" s="70" t="s">
        <v>332</v>
      </c>
    </row>
    <row r="269" spans="1:24" s="56" customFormat="1" ht="15.75" customHeight="1">
      <c r="A269" s="173"/>
      <c r="B269" s="120"/>
      <c r="C269" s="120"/>
      <c r="D269" s="120"/>
      <c r="E269" s="120"/>
      <c r="F269" s="120"/>
      <c r="G269" s="120"/>
      <c r="H269" s="120"/>
      <c r="I269" s="120"/>
      <c r="J269" s="120"/>
      <c r="K269" s="121"/>
      <c r="L269" s="166"/>
      <c r="M269" s="123"/>
      <c r="N269" s="120"/>
      <c r="O269" s="120"/>
      <c r="P269" s="120"/>
      <c r="Q269" s="120"/>
      <c r="R269" s="121"/>
      <c r="S269" s="93"/>
      <c r="T269" s="174"/>
      <c r="U269" s="124"/>
      <c r="V269" s="125"/>
      <c r="W269" s="125"/>
      <c r="X269" s="70" t="s">
        <v>124</v>
      </c>
    </row>
    <row r="270" spans="1:24" s="56" customFormat="1" ht="15.75" customHeight="1">
      <c r="A270" s="173"/>
      <c r="B270" s="120"/>
      <c r="C270" s="120"/>
      <c r="D270" s="120"/>
      <c r="E270" s="120"/>
      <c r="F270" s="120"/>
      <c r="G270" s="120"/>
      <c r="H270" s="120"/>
      <c r="I270" s="120"/>
      <c r="J270" s="120"/>
      <c r="K270" s="121"/>
      <c r="L270" s="166"/>
      <c r="M270" s="123"/>
      <c r="N270" s="120"/>
      <c r="O270" s="120"/>
      <c r="P270" s="120"/>
      <c r="Q270" s="120"/>
      <c r="R270" s="121"/>
      <c r="S270" s="93"/>
      <c r="T270" s="174"/>
      <c r="U270" s="124"/>
      <c r="V270" s="125"/>
      <c r="W270" s="125"/>
      <c r="X270" s="70" t="s">
        <v>29</v>
      </c>
    </row>
    <row r="271" spans="1:24" s="56" customFormat="1" ht="15.75" customHeight="1">
      <c r="A271" s="173"/>
      <c r="B271" s="120"/>
      <c r="C271" s="120"/>
      <c r="D271" s="120"/>
      <c r="E271" s="120"/>
      <c r="F271" s="120"/>
      <c r="G271" s="120"/>
      <c r="H271" s="120"/>
      <c r="I271" s="120"/>
      <c r="J271" s="120"/>
      <c r="K271" s="121"/>
      <c r="L271" s="166"/>
      <c r="M271" s="123"/>
      <c r="N271" s="120"/>
      <c r="O271" s="120"/>
      <c r="P271" s="120"/>
      <c r="Q271" s="120"/>
      <c r="R271" s="121"/>
      <c r="S271" s="93"/>
      <c r="T271" s="174"/>
      <c r="U271" s="124"/>
      <c r="V271" s="125"/>
      <c r="W271" s="125"/>
      <c r="X271" s="105" t="s">
        <v>123</v>
      </c>
    </row>
    <row r="272" spans="1:24" s="56" customFormat="1" ht="15.75" customHeight="1">
      <c r="A272" s="173"/>
      <c r="B272" s="120"/>
      <c r="C272" s="120"/>
      <c r="D272" s="120"/>
      <c r="E272" s="120"/>
      <c r="F272" s="120"/>
      <c r="G272" s="120"/>
      <c r="H272" s="120"/>
      <c r="I272" s="120"/>
      <c r="J272" s="120"/>
      <c r="K272" s="121"/>
      <c r="L272" s="166"/>
      <c r="M272" s="123"/>
      <c r="N272" s="120"/>
      <c r="O272" s="120"/>
      <c r="P272" s="120"/>
      <c r="Q272" s="120"/>
      <c r="R272" s="121"/>
      <c r="S272" s="93"/>
      <c r="T272" s="174"/>
      <c r="U272" s="124"/>
      <c r="V272" s="125"/>
      <c r="W272" s="125"/>
      <c r="X272" s="70" t="s">
        <v>27</v>
      </c>
    </row>
    <row r="273" spans="1:24" s="56" customFormat="1" ht="15.75" customHeight="1">
      <c r="A273" s="173"/>
      <c r="B273" s="120"/>
      <c r="C273" s="120"/>
      <c r="D273" s="120"/>
      <c r="E273" s="120"/>
      <c r="F273" s="120"/>
      <c r="G273" s="120"/>
      <c r="H273" s="120"/>
      <c r="I273" s="120"/>
      <c r="J273" s="120"/>
      <c r="K273" s="121"/>
      <c r="L273" s="166"/>
      <c r="M273" s="123"/>
      <c r="N273" s="120"/>
      <c r="O273" s="120"/>
      <c r="P273" s="120"/>
      <c r="Q273" s="120"/>
      <c r="R273" s="121"/>
      <c r="S273" s="93"/>
      <c r="T273" s="174"/>
      <c r="U273" s="124"/>
      <c r="V273" s="125"/>
      <c r="W273" s="125"/>
      <c r="X273" s="70"/>
    </row>
    <row r="274" spans="1:24" s="56" customFormat="1" ht="15.75" customHeight="1" thickBot="1">
      <c r="A274" s="176"/>
      <c r="B274" s="177"/>
      <c r="C274" s="177"/>
      <c r="D274" s="177"/>
      <c r="E274" s="177"/>
      <c r="F274" s="177"/>
      <c r="G274" s="177"/>
      <c r="H274" s="177"/>
      <c r="I274" s="177"/>
      <c r="J274" s="177"/>
      <c r="K274" s="178"/>
      <c r="L274" s="179"/>
      <c r="M274" s="180"/>
      <c r="N274" s="177"/>
      <c r="O274" s="177"/>
      <c r="P274" s="177"/>
      <c r="Q274" s="177"/>
      <c r="R274" s="178"/>
      <c r="S274" s="181"/>
      <c r="T274" s="182"/>
      <c r="U274" s="183"/>
      <c r="V274" s="184"/>
      <c r="W274" s="184"/>
      <c r="X274" s="185"/>
    </row>
    <row r="275" spans="1:24" s="56" customFormat="1" ht="13.5" customHeight="1">
      <c r="A275" s="186"/>
      <c r="B275" s="187"/>
      <c r="C275" s="188"/>
      <c r="D275" s="188"/>
      <c r="E275" s="188"/>
      <c r="F275" s="188"/>
      <c r="G275" s="188"/>
      <c r="H275" s="188"/>
      <c r="I275" s="188"/>
      <c r="J275" s="188"/>
      <c r="K275" s="189"/>
      <c r="L275" s="190"/>
      <c r="M275" s="191"/>
      <c r="N275" s="192"/>
      <c r="O275" s="192"/>
      <c r="P275" s="192"/>
      <c r="Q275" s="192"/>
      <c r="R275" s="192" t="s">
        <v>146</v>
      </c>
      <c r="S275" s="192"/>
      <c r="T275" s="192"/>
      <c r="U275" s="192"/>
      <c r="V275" s="193">
        <f>SUM(W10:W274)</f>
        <v>0</v>
      </c>
      <c r="W275" s="193"/>
      <c r="X275" s="194"/>
    </row>
    <row r="276" spans="1:24" s="56" customFormat="1" ht="12">
      <c r="A276" s="195"/>
      <c r="N276" s="196"/>
      <c r="O276" s="196"/>
      <c r="P276" s="196"/>
      <c r="Q276" s="196"/>
      <c r="R276" s="196"/>
      <c r="S276" s="196"/>
      <c r="T276" s="196"/>
      <c r="U276" s="196"/>
      <c r="V276" s="196"/>
      <c r="W276" s="196"/>
      <c r="X276" s="195"/>
    </row>
    <row r="277" spans="1:24" ht="25.5" customHeight="1">
      <c r="A277" s="36" t="s">
        <v>154</v>
      </c>
      <c r="B277" s="4" t="s">
        <v>212</v>
      </c>
      <c r="C277" s="4"/>
      <c r="D277" s="4"/>
      <c r="E277" s="4"/>
      <c r="F277" s="4"/>
      <c r="G277" s="4"/>
      <c r="H277" s="4"/>
      <c r="I277" s="4"/>
      <c r="J277" s="11" t="s">
        <v>287</v>
      </c>
      <c r="K277" s="11"/>
      <c r="L277" s="11"/>
      <c r="M277" s="11"/>
      <c r="N277" s="11"/>
      <c r="O277" s="11"/>
      <c r="P277" s="11"/>
      <c r="Q277" s="11"/>
      <c r="R277" s="11"/>
      <c r="S277" s="24"/>
      <c r="T277" s="11"/>
      <c r="U277" s="11"/>
      <c r="W277" s="11"/>
      <c r="X277" s="11" t="s">
        <v>218</v>
      </c>
    </row>
    <row r="278" spans="1:24" ht="25.5" customHeight="1">
      <c r="A278" s="36"/>
      <c r="B278" s="4" t="s">
        <v>161</v>
      </c>
      <c r="C278" s="4"/>
      <c r="D278" s="4"/>
      <c r="E278" s="4"/>
      <c r="F278" s="4"/>
      <c r="G278" s="4"/>
      <c r="H278" s="4"/>
      <c r="I278" s="4"/>
      <c r="J278" s="11"/>
      <c r="K278" s="11" t="s">
        <v>61</v>
      </c>
      <c r="L278" s="11"/>
      <c r="M278" s="11"/>
      <c r="N278" s="11"/>
      <c r="O278" s="11"/>
      <c r="P278" s="11"/>
      <c r="Q278" s="11"/>
      <c r="R278" s="11"/>
      <c r="S278" s="24"/>
      <c r="T278" s="11"/>
      <c r="U278" s="11"/>
      <c r="V278" s="11"/>
      <c r="W278" s="11"/>
      <c r="X278" s="11"/>
    </row>
    <row r="279" spans="1:24" ht="25.5" customHeight="1">
      <c r="A279" s="29" t="s">
        <v>213</v>
      </c>
      <c r="B279" s="4" t="s">
        <v>232</v>
      </c>
      <c r="C279" s="4"/>
      <c r="D279" s="4"/>
      <c r="E279" s="4"/>
      <c r="F279" s="4"/>
      <c r="G279" s="4"/>
      <c r="H279" s="4"/>
      <c r="I279" s="4"/>
      <c r="J279" s="4" t="s">
        <v>125</v>
      </c>
      <c r="K279" s="4"/>
      <c r="L279" s="4"/>
      <c r="M279" s="4"/>
      <c r="N279" s="4"/>
      <c r="O279" s="4"/>
      <c r="P279" s="4"/>
      <c r="Q279" s="4"/>
      <c r="S279" s="17"/>
      <c r="T279" s="4"/>
      <c r="U279" s="4"/>
      <c r="V279" s="4"/>
      <c r="W279" s="4"/>
      <c r="X279" s="4" t="s">
        <v>134</v>
      </c>
    </row>
    <row r="280" spans="1:24" ht="25.5" customHeight="1">
      <c r="A280" s="18"/>
      <c r="B280" s="4" t="s">
        <v>323</v>
      </c>
      <c r="C280" s="4"/>
      <c r="D280" s="4"/>
      <c r="E280" s="4"/>
      <c r="F280" s="4"/>
      <c r="G280" s="4"/>
      <c r="H280" s="4"/>
      <c r="I280" s="4"/>
      <c r="J280" s="4" t="s">
        <v>214</v>
      </c>
      <c r="K280" s="4"/>
      <c r="L280" s="4"/>
      <c r="M280" s="4"/>
      <c r="N280" s="4"/>
      <c r="O280" s="4"/>
      <c r="P280" s="4"/>
      <c r="Q280" s="4" t="s">
        <v>56</v>
      </c>
      <c r="S280" s="25"/>
      <c r="T280" s="4"/>
      <c r="U280" s="4"/>
      <c r="V280" s="4"/>
      <c r="W280" s="4"/>
      <c r="X280" s="4" t="s">
        <v>223</v>
      </c>
    </row>
    <row r="281" ht="25.5" customHeight="1"/>
    <row r="282" ht="25.5" customHeight="1"/>
    <row r="283" ht="25.5" customHeight="1">
      <c r="A283" s="16" t="s">
        <v>143</v>
      </c>
    </row>
    <row r="284" spans="25:28" ht="25.5" customHeight="1">
      <c r="Y284" s="1">
        <v>1</v>
      </c>
      <c r="Z284" s="1">
        <v>2</v>
      </c>
      <c r="AA284" s="1">
        <v>1</v>
      </c>
      <c r="AB284" s="1">
        <v>2</v>
      </c>
    </row>
    <row r="285" spans="25:27" ht="25.5" customHeight="1">
      <c r="Y285" t="s">
        <v>284</v>
      </c>
      <c r="AA285" s="2" t="s">
        <v>201</v>
      </c>
    </row>
    <row r="286" spans="25:28" ht="25.5" customHeight="1">
      <c r="Y286" s="13" t="s">
        <v>58</v>
      </c>
      <c r="Z286" s="1">
        <v>0</v>
      </c>
      <c r="AA286" s="13" t="s">
        <v>58</v>
      </c>
      <c r="AB286" s="1">
        <v>1</v>
      </c>
    </row>
    <row r="287" spans="25:28" ht="25.5" customHeight="1">
      <c r="Y287" s="13" t="s">
        <v>204</v>
      </c>
      <c r="Z287" s="1">
        <v>1</v>
      </c>
      <c r="AA287" s="1" t="s">
        <v>204</v>
      </c>
      <c r="AB287" s="1">
        <v>2</v>
      </c>
    </row>
    <row r="288" spans="25:28" ht="25.5" customHeight="1">
      <c r="Y288" s="13" t="s">
        <v>38</v>
      </c>
      <c r="Z288" s="1">
        <v>2</v>
      </c>
      <c r="AA288" s="1" t="s">
        <v>38</v>
      </c>
      <c r="AB288" s="1">
        <v>3</v>
      </c>
    </row>
    <row r="289" spans="25:28" ht="25.5" customHeight="1">
      <c r="Y289" s="1" t="s">
        <v>205</v>
      </c>
      <c r="Z289" s="1">
        <v>3</v>
      </c>
      <c r="AA289" s="1" t="s">
        <v>322</v>
      </c>
      <c r="AB289" s="1">
        <v>4</v>
      </c>
    </row>
    <row r="290" spans="25:28" ht="25.5" customHeight="1">
      <c r="Y290" s="1" t="s">
        <v>322</v>
      </c>
      <c r="Z290" s="1">
        <v>3</v>
      </c>
      <c r="AA290" s="1" t="s">
        <v>126</v>
      </c>
      <c r="AB290" s="1">
        <v>3</v>
      </c>
    </row>
    <row r="291" spans="25:28" ht="25.5" customHeight="1">
      <c r="Y291" s="1" t="s">
        <v>126</v>
      </c>
      <c r="Z291" s="1">
        <v>2</v>
      </c>
      <c r="AA291" s="1"/>
      <c r="AB291" s="1"/>
    </row>
    <row r="292" spans="27:28" ht="25.5" customHeight="1">
      <c r="AA292" s="1"/>
      <c r="AB292" s="1"/>
    </row>
    <row r="293" spans="25:28" ht="25.5" customHeight="1">
      <c r="Y293" s="1">
        <v>1</v>
      </c>
      <c r="Z293" s="1">
        <v>2</v>
      </c>
      <c r="AA293" s="1">
        <v>1</v>
      </c>
      <c r="AB293" s="1">
        <v>2</v>
      </c>
    </row>
    <row r="294" spans="25:27" ht="25.5" customHeight="1">
      <c r="Y294" s="2" t="s">
        <v>149</v>
      </c>
      <c r="AA294" s="2" t="s">
        <v>142</v>
      </c>
    </row>
    <row r="295" spans="25:28" ht="25.5" customHeight="1">
      <c r="Y295" s="1">
        <v>0</v>
      </c>
      <c r="Z295" s="13" t="s">
        <v>58</v>
      </c>
      <c r="AA295" s="1">
        <v>1</v>
      </c>
      <c r="AB295" s="1" t="s">
        <v>278</v>
      </c>
    </row>
    <row r="296" spans="25:28" ht="25.5" customHeight="1">
      <c r="Y296" s="1">
        <v>1</v>
      </c>
      <c r="Z296" s="1" t="s">
        <v>278</v>
      </c>
      <c r="AA296" s="1">
        <v>2</v>
      </c>
      <c r="AB296" s="1" t="s">
        <v>207</v>
      </c>
    </row>
    <row r="297" spans="25:28" ht="25.5" customHeight="1">
      <c r="Y297" s="1">
        <v>2</v>
      </c>
      <c r="Z297" s="1" t="s">
        <v>207</v>
      </c>
      <c r="AA297" s="1">
        <v>3</v>
      </c>
      <c r="AB297" s="1" t="s">
        <v>217</v>
      </c>
    </row>
    <row r="298" spans="25:28" ht="25.5" customHeight="1">
      <c r="Y298" s="1">
        <v>3</v>
      </c>
      <c r="Z298" s="1" t="s">
        <v>217</v>
      </c>
      <c r="AA298" s="1">
        <v>4</v>
      </c>
      <c r="AB298" s="1" t="s">
        <v>32</v>
      </c>
    </row>
    <row r="299" spans="25:28" ht="25.5" customHeight="1">
      <c r="Y299" s="1">
        <v>4</v>
      </c>
      <c r="Z299" s="1" t="s">
        <v>32</v>
      </c>
      <c r="AA299" s="1">
        <v>5</v>
      </c>
      <c r="AB299" s="1" t="s">
        <v>277</v>
      </c>
    </row>
    <row r="300" spans="25:28" ht="25.5" customHeight="1">
      <c r="Y300" s="2">
        <v>5</v>
      </c>
      <c r="Z300" s="2" t="s">
        <v>277</v>
      </c>
      <c r="AA300" s="1">
        <v>6</v>
      </c>
      <c r="AB300" s="1" t="s">
        <v>33</v>
      </c>
    </row>
    <row r="301" spans="25:26" ht="12">
      <c r="Y301" s="2">
        <v>6</v>
      </c>
      <c r="Z301" s="2" t="s">
        <v>33</v>
      </c>
    </row>
    <row r="302" spans="1:23" ht="12">
      <c r="A302" s="2" t="s">
        <v>55</v>
      </c>
      <c r="B302" s="2"/>
      <c r="J302" s="2" t="s">
        <v>263</v>
      </c>
      <c r="Q302" s="2" t="s">
        <v>258</v>
      </c>
      <c r="W302" s="2" t="s">
        <v>240</v>
      </c>
    </row>
    <row r="303" spans="1:23" ht="12">
      <c r="A303" s="1" t="s">
        <v>58</v>
      </c>
      <c r="B303" s="2"/>
      <c r="J303" s="1" t="s">
        <v>58</v>
      </c>
      <c r="Q303" s="1" t="s">
        <v>58</v>
      </c>
      <c r="W303" s="1" t="s">
        <v>58</v>
      </c>
    </row>
    <row r="304" spans="1:23" ht="12">
      <c r="A304" s="1">
        <v>1</v>
      </c>
      <c r="B304" s="2"/>
      <c r="J304" s="1">
        <v>1</v>
      </c>
      <c r="Q304" s="1">
        <v>1</v>
      </c>
      <c r="W304" s="1" t="s">
        <v>239</v>
      </c>
    </row>
    <row r="305" spans="1:17" ht="12">
      <c r="A305" s="1">
        <v>2</v>
      </c>
      <c r="B305" s="2"/>
      <c r="J305" s="1">
        <v>2</v>
      </c>
      <c r="Q305" s="1">
        <v>2</v>
      </c>
    </row>
    <row r="306" spans="1:17" ht="12">
      <c r="A306" s="1">
        <v>3</v>
      </c>
      <c r="B306" s="2"/>
      <c r="Q306" s="1">
        <v>3</v>
      </c>
    </row>
    <row r="307" spans="2:17" ht="12">
      <c r="B307" s="2"/>
      <c r="Q307" s="1">
        <v>4</v>
      </c>
    </row>
    <row r="308" spans="2:10" ht="12">
      <c r="B308" s="2"/>
      <c r="J308" s="2" t="s">
        <v>290</v>
      </c>
    </row>
    <row r="309" spans="1:17" ht="12">
      <c r="A309" s="2" t="s">
        <v>274</v>
      </c>
      <c r="B309" s="2"/>
      <c r="J309" s="1" t="s">
        <v>58</v>
      </c>
      <c r="Q309" s="2" t="s">
        <v>216</v>
      </c>
    </row>
    <row r="310" spans="1:17" ht="12">
      <c r="A310" s="1" t="s">
        <v>58</v>
      </c>
      <c r="B310" s="2"/>
      <c r="J310" s="1">
        <v>1</v>
      </c>
      <c r="Q310" s="1" t="s">
        <v>58</v>
      </c>
    </row>
    <row r="311" spans="1:17" ht="12">
      <c r="A311" s="1">
        <v>3</v>
      </c>
      <c r="B311" s="2"/>
      <c r="F311" s="2" t="s">
        <v>206</v>
      </c>
      <c r="J311" s="1"/>
      <c r="Q311" s="1">
        <v>3</v>
      </c>
    </row>
    <row r="312" spans="1:17" ht="12">
      <c r="A312" s="1">
        <v>6</v>
      </c>
      <c r="B312" s="2"/>
      <c r="F312" s="2">
        <v>3</v>
      </c>
      <c r="G312" s="2">
        <v>1</v>
      </c>
      <c r="Q312" s="1">
        <v>6</v>
      </c>
    </row>
    <row r="313" spans="1:17" ht="12">
      <c r="A313" s="1">
        <v>9</v>
      </c>
      <c r="B313" s="2"/>
      <c r="F313" s="2">
        <v>4</v>
      </c>
      <c r="G313" s="2">
        <v>2</v>
      </c>
      <c r="Q313" s="1">
        <v>9</v>
      </c>
    </row>
    <row r="314" spans="2:17" ht="12">
      <c r="B314" s="2"/>
      <c r="Q314" s="1">
        <v>12</v>
      </c>
    </row>
    <row r="315" spans="2:10" ht="12">
      <c r="B315" s="2"/>
      <c r="J315" s="2" t="s">
        <v>133</v>
      </c>
    </row>
    <row r="316" spans="1:41" ht="12">
      <c r="A316" s="2" t="s">
        <v>215</v>
      </c>
      <c r="B316" s="2"/>
      <c r="C316" s="2" t="s">
        <v>284</v>
      </c>
      <c r="Y316" s="2">
        <v>1</v>
      </c>
      <c r="Z316" s="2">
        <v>2</v>
      </c>
      <c r="AA316" s="2">
        <v>3</v>
      </c>
      <c r="AB316" s="2">
        <v>4</v>
      </c>
      <c r="AC316" s="2">
        <v>5</v>
      </c>
      <c r="AD316" s="2">
        <v>6</v>
      </c>
      <c r="AE316" s="2">
        <v>7</v>
      </c>
      <c r="AF316" s="2">
        <v>8</v>
      </c>
      <c r="AG316" s="2">
        <v>9</v>
      </c>
      <c r="AH316" s="2">
        <v>10</v>
      </c>
      <c r="AI316" s="2">
        <v>11</v>
      </c>
      <c r="AJ316" s="2">
        <v>12</v>
      </c>
      <c r="AK316" s="2">
        <v>13</v>
      </c>
      <c r="AL316" s="2">
        <v>14</v>
      </c>
      <c r="AM316" s="2">
        <v>15</v>
      </c>
      <c r="AN316" s="2">
        <v>16</v>
      </c>
      <c r="AO316" s="2">
        <v>17</v>
      </c>
    </row>
    <row r="317" spans="1:41" ht="12">
      <c r="A317" s="1" t="s">
        <v>58</v>
      </c>
      <c r="B317" s="2"/>
      <c r="C317" s="1" t="s">
        <v>58</v>
      </c>
      <c r="J317" s="1" t="s">
        <v>278</v>
      </c>
      <c r="Y317" s="2" t="s">
        <v>31</v>
      </c>
      <c r="Z317" s="12" t="s">
        <v>261</v>
      </c>
      <c r="AA317" s="12" t="s">
        <v>139</v>
      </c>
      <c r="AB317" s="12" t="s">
        <v>140</v>
      </c>
      <c r="AC317" s="12" t="s">
        <v>38</v>
      </c>
      <c r="AD317" s="12" t="s">
        <v>262</v>
      </c>
      <c r="AE317" s="12" t="s">
        <v>141</v>
      </c>
      <c r="AF317" s="12" t="s">
        <v>280</v>
      </c>
      <c r="AG317" s="12" t="s">
        <v>281</v>
      </c>
      <c r="AH317" s="12" t="s">
        <v>282</v>
      </c>
      <c r="AI317" s="2" t="s">
        <v>149</v>
      </c>
      <c r="AJ317" s="2" t="s">
        <v>209</v>
      </c>
      <c r="AK317" s="2" t="s">
        <v>30</v>
      </c>
      <c r="AL317" s="2" t="s">
        <v>219</v>
      </c>
      <c r="AM317" s="2" t="s">
        <v>236</v>
      </c>
      <c r="AO317" s="2" t="s">
        <v>132</v>
      </c>
    </row>
    <row r="318" spans="1:25" ht="12">
      <c r="A318" s="1">
        <v>9</v>
      </c>
      <c r="B318" s="2"/>
      <c r="C318" s="1" t="s">
        <v>204</v>
      </c>
      <c r="J318" s="1" t="s">
        <v>207</v>
      </c>
      <c r="Q318" s="2" t="s">
        <v>35</v>
      </c>
      <c r="V318" s="2" t="s">
        <v>197</v>
      </c>
      <c r="Y318" s="2" t="s">
        <v>58</v>
      </c>
    </row>
    <row r="319" spans="1:41" ht="12">
      <c r="A319" s="1">
        <v>10</v>
      </c>
      <c r="B319" s="2"/>
      <c r="C319" s="1" t="s">
        <v>38</v>
      </c>
      <c r="J319" s="1" t="s">
        <v>217</v>
      </c>
      <c r="Q319" s="1" t="s">
        <v>58</v>
      </c>
      <c r="V319" s="1" t="s">
        <v>58</v>
      </c>
      <c r="Y319" s="2" t="s">
        <v>200</v>
      </c>
      <c r="Z319" s="2" t="s">
        <v>58</v>
      </c>
      <c r="AA319" s="2" t="s">
        <v>58</v>
      </c>
      <c r="AB319" s="2" t="s">
        <v>58</v>
      </c>
      <c r="AC319" s="2" t="s">
        <v>58</v>
      </c>
      <c r="AD319" s="2" t="s">
        <v>58</v>
      </c>
      <c r="AE319" s="2" t="s">
        <v>58</v>
      </c>
      <c r="AF319" s="2" t="s">
        <v>58</v>
      </c>
      <c r="AG319" s="2" t="s">
        <v>58</v>
      </c>
      <c r="AH319" s="2" t="s">
        <v>58</v>
      </c>
      <c r="AI319" s="2" t="s">
        <v>58</v>
      </c>
      <c r="AJ319" s="2">
        <v>0</v>
      </c>
      <c r="AK319" s="2" t="s">
        <v>58</v>
      </c>
      <c r="AL319" s="2" t="s">
        <v>58</v>
      </c>
      <c r="AM319" s="2">
        <v>0</v>
      </c>
      <c r="AN319" s="2" t="s">
        <v>58</v>
      </c>
      <c r="AO319" s="2">
        <v>0</v>
      </c>
    </row>
    <row r="320" spans="1:41" ht="12">
      <c r="A320" s="1">
        <v>11</v>
      </c>
      <c r="B320" s="2"/>
      <c r="C320" s="1" t="s">
        <v>126</v>
      </c>
      <c r="J320" s="1" t="s">
        <v>32</v>
      </c>
      <c r="Q320" s="2">
        <v>10</v>
      </c>
      <c r="V320" s="1">
        <v>4</v>
      </c>
      <c r="Y320" s="35" t="s">
        <v>243</v>
      </c>
      <c r="Z320" s="35">
        <v>8</v>
      </c>
      <c r="AA320" s="35">
        <v>2</v>
      </c>
      <c r="AB320" s="35">
        <v>0</v>
      </c>
      <c r="AC320" s="35">
        <v>3</v>
      </c>
      <c r="AD320" s="35">
        <v>3</v>
      </c>
      <c r="AE320" s="35">
        <v>1</v>
      </c>
      <c r="AF320" s="35">
        <v>2</v>
      </c>
      <c r="AG320" s="35">
        <v>1</v>
      </c>
      <c r="AH320" s="35">
        <v>5</v>
      </c>
      <c r="AI320" s="35" t="s">
        <v>58</v>
      </c>
      <c r="AJ320" s="35">
        <v>15</v>
      </c>
      <c r="AK320" s="35" t="s">
        <v>307</v>
      </c>
      <c r="AL320" s="35" t="s">
        <v>58</v>
      </c>
      <c r="AM320" s="35">
        <v>10</v>
      </c>
      <c r="AN320" s="35" t="s">
        <v>58</v>
      </c>
      <c r="AO320" s="35">
        <v>1</v>
      </c>
    </row>
    <row r="321" spans="1:41" ht="12">
      <c r="A321" s="1">
        <v>12</v>
      </c>
      <c r="B321" s="2"/>
      <c r="J321" s="1" t="s">
        <v>277</v>
      </c>
      <c r="Q321" s="2">
        <v>15</v>
      </c>
      <c r="V321" s="1">
        <v>5</v>
      </c>
      <c r="Y321" s="2" t="s">
        <v>210</v>
      </c>
      <c r="Z321" s="2">
        <v>7</v>
      </c>
      <c r="AA321" s="2">
        <v>3</v>
      </c>
      <c r="AB321" s="2">
        <v>0</v>
      </c>
      <c r="AC321" s="2">
        <v>4</v>
      </c>
      <c r="AD321" s="2">
        <v>4</v>
      </c>
      <c r="AE321" s="2">
        <v>1</v>
      </c>
      <c r="AF321" s="2">
        <v>2</v>
      </c>
      <c r="AG321" s="2">
        <v>2</v>
      </c>
      <c r="AH321" s="2">
        <v>3</v>
      </c>
      <c r="AI321" s="2" t="s">
        <v>58</v>
      </c>
      <c r="AJ321" s="2">
        <v>25</v>
      </c>
      <c r="AK321" s="2" t="s">
        <v>151</v>
      </c>
      <c r="AL321" s="2" t="s">
        <v>152</v>
      </c>
      <c r="AM321" s="2">
        <v>12</v>
      </c>
      <c r="AN321" s="2" t="s">
        <v>58</v>
      </c>
      <c r="AO321" s="2">
        <v>2</v>
      </c>
    </row>
    <row r="322" spans="1:41" ht="12">
      <c r="A322" s="1">
        <v>13</v>
      </c>
      <c r="B322" s="2"/>
      <c r="J322" s="1" t="s">
        <v>33</v>
      </c>
      <c r="Q322" s="2">
        <v>20</v>
      </c>
      <c r="V322" s="1">
        <v>6</v>
      </c>
      <c r="Y322" s="2" t="s">
        <v>211</v>
      </c>
      <c r="Z322" s="2">
        <v>8</v>
      </c>
      <c r="AA322" s="2">
        <v>3</v>
      </c>
      <c r="AB322" s="2">
        <v>0</v>
      </c>
      <c r="AC322" s="2">
        <v>4</v>
      </c>
      <c r="AD322" s="2">
        <v>4</v>
      </c>
      <c r="AE322" s="2">
        <v>3</v>
      </c>
      <c r="AF322" s="2">
        <v>4</v>
      </c>
      <c r="AG322" s="2">
        <v>2</v>
      </c>
      <c r="AH322" s="2">
        <v>6</v>
      </c>
      <c r="AI322" s="2" t="s">
        <v>58</v>
      </c>
      <c r="AJ322" s="2">
        <v>50</v>
      </c>
      <c r="AK322" s="2" t="s">
        <v>88</v>
      </c>
      <c r="AL322" s="2" t="s">
        <v>89</v>
      </c>
      <c r="AM322" s="2">
        <v>50</v>
      </c>
      <c r="AN322" s="2" t="s">
        <v>58</v>
      </c>
      <c r="AO322" s="2">
        <v>1</v>
      </c>
    </row>
    <row r="323" spans="1:41" ht="12">
      <c r="A323" s="1">
        <v>14</v>
      </c>
      <c r="B323" s="2"/>
      <c r="J323" s="1" t="s">
        <v>58</v>
      </c>
      <c r="Q323" s="2">
        <v>25</v>
      </c>
      <c r="V323" s="1">
        <v>7</v>
      </c>
      <c r="Y323" s="35" t="s">
        <v>305</v>
      </c>
      <c r="Z323" s="35">
        <v>6</v>
      </c>
      <c r="AA323" s="35">
        <v>4</v>
      </c>
      <c r="AB323" s="35">
        <v>0</v>
      </c>
      <c r="AC323" s="35">
        <v>5</v>
      </c>
      <c r="AD323" s="35">
        <v>8</v>
      </c>
      <c r="AE323" s="35">
        <v>5</v>
      </c>
      <c r="AF323" s="35">
        <v>1</v>
      </c>
      <c r="AG323" s="35">
        <v>4</v>
      </c>
      <c r="AH323" s="35">
        <v>6</v>
      </c>
      <c r="AI323" s="35" t="s">
        <v>207</v>
      </c>
      <c r="AJ323" s="35">
        <v>210</v>
      </c>
      <c r="AK323" s="35" t="s">
        <v>25</v>
      </c>
      <c r="AL323" s="35" t="s">
        <v>116</v>
      </c>
      <c r="AM323" s="35">
        <v>210</v>
      </c>
      <c r="AN323" s="35" t="s">
        <v>26</v>
      </c>
      <c r="AO323" s="35">
        <v>1</v>
      </c>
    </row>
    <row r="324" spans="1:41" ht="12">
      <c r="A324" s="1">
        <v>15</v>
      </c>
      <c r="B324" s="2"/>
      <c r="C324" s="1" t="s">
        <v>59</v>
      </c>
      <c r="Q324" s="2">
        <v>30</v>
      </c>
      <c r="V324" s="1">
        <v>8</v>
      </c>
      <c r="Y324" s="2" t="s">
        <v>144</v>
      </c>
      <c r="Z324" s="2">
        <v>6</v>
      </c>
      <c r="AA324" s="2">
        <v>6</v>
      </c>
      <c r="AB324" s="2">
        <v>0</v>
      </c>
      <c r="AC324" s="2">
        <v>6</v>
      </c>
      <c r="AD324" s="2">
        <v>6</v>
      </c>
      <c r="AE324" s="2">
        <v>6</v>
      </c>
      <c r="AF324" s="2">
        <v>3</v>
      </c>
      <c r="AG324" s="2">
        <v>5</v>
      </c>
      <c r="AH324" s="2">
        <v>8</v>
      </c>
      <c r="AI324" s="2" t="s">
        <v>32</v>
      </c>
      <c r="AJ324" s="2">
        <v>300</v>
      </c>
      <c r="AK324" s="2" t="s">
        <v>228</v>
      </c>
      <c r="AL324" s="2" t="s">
        <v>326</v>
      </c>
      <c r="AM324" s="2">
        <v>0</v>
      </c>
      <c r="AN324" s="2" t="s">
        <v>273</v>
      </c>
      <c r="AO324" s="2">
        <v>1</v>
      </c>
    </row>
    <row r="325" spans="1:41" ht="12">
      <c r="A325" s="1">
        <v>16</v>
      </c>
      <c r="B325" s="2"/>
      <c r="C325" s="1" t="s">
        <v>58</v>
      </c>
      <c r="Q325" s="2">
        <v>50</v>
      </c>
      <c r="V325" s="1">
        <v>9</v>
      </c>
      <c r="Y325" s="35" t="s">
        <v>304</v>
      </c>
      <c r="Z325" s="35" t="s">
        <v>58</v>
      </c>
      <c r="AA325" s="35" t="s">
        <v>58</v>
      </c>
      <c r="AB325" s="35" t="s">
        <v>58</v>
      </c>
      <c r="AC325" s="35">
        <v>5</v>
      </c>
      <c r="AD325" s="35">
        <v>5</v>
      </c>
      <c r="AE325" s="35">
        <v>4</v>
      </c>
      <c r="AF325" s="35" t="s">
        <v>58</v>
      </c>
      <c r="AG325" s="35" t="s">
        <v>58</v>
      </c>
      <c r="AH325" s="35" t="s">
        <v>58</v>
      </c>
      <c r="AI325" s="35" t="s">
        <v>207</v>
      </c>
      <c r="AJ325" s="35">
        <v>55</v>
      </c>
      <c r="AK325" s="35" t="s">
        <v>117</v>
      </c>
      <c r="AL325" s="35" t="s">
        <v>118</v>
      </c>
      <c r="AM325" s="35">
        <v>55</v>
      </c>
      <c r="AN325" s="35" t="s">
        <v>58</v>
      </c>
      <c r="AO325" s="35">
        <v>1</v>
      </c>
    </row>
    <row r="326" spans="1:41" ht="12">
      <c r="A326" s="1">
        <v>17</v>
      </c>
      <c r="B326" s="2"/>
      <c r="C326" s="1">
        <v>1</v>
      </c>
      <c r="G326" s="2" t="s">
        <v>279</v>
      </c>
      <c r="K326" s="2" t="s">
        <v>57</v>
      </c>
      <c r="Q326" s="2">
        <v>55</v>
      </c>
      <c r="R326" s="5"/>
      <c r="V326" s="1">
        <v>10</v>
      </c>
      <c r="Y326" s="2" t="s">
        <v>150</v>
      </c>
      <c r="Z326" s="2" t="s">
        <v>58</v>
      </c>
      <c r="AA326" s="2" t="s">
        <v>58</v>
      </c>
      <c r="AB326" s="2" t="s">
        <v>58</v>
      </c>
      <c r="AC326" s="2">
        <v>5</v>
      </c>
      <c r="AD326" s="2">
        <v>5</v>
      </c>
      <c r="AE326" s="2">
        <v>4</v>
      </c>
      <c r="AF326" s="2" t="s">
        <v>58</v>
      </c>
      <c r="AG326" s="2" t="s">
        <v>58</v>
      </c>
      <c r="AH326" s="2" t="s">
        <v>58</v>
      </c>
      <c r="AI326" s="2" t="s">
        <v>32</v>
      </c>
      <c r="AJ326" s="2">
        <v>110</v>
      </c>
      <c r="AK326" s="2" t="s">
        <v>327</v>
      </c>
      <c r="AL326" s="2" t="s">
        <v>328</v>
      </c>
      <c r="AM326" s="2">
        <v>0</v>
      </c>
      <c r="AN326" s="2" t="s">
        <v>177</v>
      </c>
      <c r="AO326" s="2">
        <v>1</v>
      </c>
    </row>
    <row r="327" spans="1:41" ht="12">
      <c r="A327" s="1">
        <v>18</v>
      </c>
      <c r="B327" s="2"/>
      <c r="C327" s="1">
        <v>2</v>
      </c>
      <c r="G327" s="1" t="s">
        <v>58</v>
      </c>
      <c r="K327" s="2" t="s">
        <v>58</v>
      </c>
      <c r="Q327" s="2">
        <v>75</v>
      </c>
      <c r="R327" s="5"/>
      <c r="V327" s="1">
        <v>11</v>
      </c>
      <c r="Y327" s="2" t="s">
        <v>325</v>
      </c>
      <c r="Z327" s="2">
        <v>6</v>
      </c>
      <c r="AA327" s="2">
        <v>7</v>
      </c>
      <c r="AB327" s="2">
        <v>0</v>
      </c>
      <c r="AC327" s="2">
        <v>6</v>
      </c>
      <c r="AD327" s="2">
        <v>6</v>
      </c>
      <c r="AE327" s="2">
        <v>6</v>
      </c>
      <c r="AF327" s="2">
        <v>3</v>
      </c>
      <c r="AG327" s="2">
        <v>6</v>
      </c>
      <c r="AH327" s="2">
        <v>8</v>
      </c>
      <c r="AI327" s="2" t="s">
        <v>32</v>
      </c>
      <c r="AJ327" s="2">
        <v>300</v>
      </c>
      <c r="AK327" s="2" t="s">
        <v>228</v>
      </c>
      <c r="AL327" s="2" t="s">
        <v>326</v>
      </c>
      <c r="AM327" s="2">
        <v>0</v>
      </c>
      <c r="AN327" s="2" t="s">
        <v>273</v>
      </c>
      <c r="AO327" s="2">
        <v>1</v>
      </c>
    </row>
    <row r="328" spans="1:22" ht="12">
      <c r="A328" s="1">
        <v>19</v>
      </c>
      <c r="B328" s="2"/>
      <c r="C328" s="1">
        <v>3</v>
      </c>
      <c r="G328" s="1">
        <v>9</v>
      </c>
      <c r="K328" s="1">
        <v>1</v>
      </c>
      <c r="Q328" s="26">
        <v>100</v>
      </c>
      <c r="V328" s="1">
        <v>12</v>
      </c>
    </row>
    <row r="329" spans="1:29" ht="12">
      <c r="A329" s="1">
        <v>20</v>
      </c>
      <c r="B329" s="2"/>
      <c r="C329" s="1">
        <v>4</v>
      </c>
      <c r="G329" s="1">
        <v>10</v>
      </c>
      <c r="K329" s="1">
        <v>2</v>
      </c>
      <c r="V329" s="1">
        <v>13</v>
      </c>
      <c r="Y329" s="2">
        <v>1</v>
      </c>
      <c r="Z329" s="2">
        <v>2</v>
      </c>
      <c r="AA329" s="2">
        <v>3</v>
      </c>
      <c r="AB329" s="2">
        <v>4</v>
      </c>
      <c r="AC329" s="2">
        <v>5</v>
      </c>
    </row>
    <row r="330" spans="1:28" ht="12">
      <c r="A330" s="1">
        <v>21</v>
      </c>
      <c r="B330" s="2"/>
      <c r="C330" s="1">
        <v>5</v>
      </c>
      <c r="G330" s="1">
        <v>11</v>
      </c>
      <c r="K330" s="1">
        <v>3</v>
      </c>
      <c r="Q330" s="2" t="s">
        <v>145</v>
      </c>
      <c r="V330" s="1">
        <v>14</v>
      </c>
      <c r="Y330" s="2" t="s">
        <v>221</v>
      </c>
      <c r="Z330" s="2" t="s">
        <v>147</v>
      </c>
      <c r="AA330" s="2" t="s">
        <v>236</v>
      </c>
      <c r="AB330" s="2" t="s">
        <v>112</v>
      </c>
    </row>
    <row r="331" spans="1:28" ht="12.75">
      <c r="A331" s="1">
        <v>22</v>
      </c>
      <c r="B331" s="2"/>
      <c r="C331" s="1">
        <v>6</v>
      </c>
      <c r="G331" s="1">
        <v>12</v>
      </c>
      <c r="K331" s="1">
        <v>4</v>
      </c>
      <c r="V331" s="1">
        <v>15</v>
      </c>
      <c r="Y331" s="27" t="s">
        <v>330</v>
      </c>
      <c r="Z331" s="2">
        <v>0</v>
      </c>
      <c r="AA331" s="2">
        <v>0</v>
      </c>
      <c r="AB331" s="2">
        <v>0</v>
      </c>
    </row>
    <row r="332" spans="1:28" ht="12.75">
      <c r="A332" s="1">
        <v>23</v>
      </c>
      <c r="B332" s="2"/>
      <c r="C332" s="1">
        <v>7</v>
      </c>
      <c r="G332" s="1">
        <v>13</v>
      </c>
      <c r="K332" s="1">
        <v>5</v>
      </c>
      <c r="Q332" s="1" t="s">
        <v>58</v>
      </c>
      <c r="V332" s="1">
        <v>16</v>
      </c>
      <c r="Y332" s="27" t="s">
        <v>114</v>
      </c>
      <c r="Z332" s="2">
        <v>3</v>
      </c>
      <c r="AA332" s="2">
        <v>2</v>
      </c>
      <c r="AB332" s="2">
        <v>0</v>
      </c>
    </row>
    <row r="333" spans="1:28" ht="12.75">
      <c r="A333" s="1">
        <v>24</v>
      </c>
      <c r="B333" s="2"/>
      <c r="C333" s="1">
        <v>8</v>
      </c>
      <c r="G333" s="1">
        <v>14</v>
      </c>
      <c r="K333" s="1">
        <v>6</v>
      </c>
      <c r="Q333" s="2">
        <v>5</v>
      </c>
      <c r="V333" s="1">
        <v>17</v>
      </c>
      <c r="Y333" s="27" t="s">
        <v>115</v>
      </c>
      <c r="Z333" s="2">
        <v>0</v>
      </c>
      <c r="AA333" s="2">
        <v>0</v>
      </c>
      <c r="AB333" s="2">
        <v>1</v>
      </c>
    </row>
    <row r="334" spans="1:28" ht="12.75">
      <c r="A334" s="1">
        <v>25</v>
      </c>
      <c r="B334" s="2"/>
      <c r="C334" s="1">
        <v>9</v>
      </c>
      <c r="G334" s="1">
        <v>15</v>
      </c>
      <c r="K334" s="1">
        <v>7</v>
      </c>
      <c r="Q334" s="2">
        <v>10</v>
      </c>
      <c r="V334" s="1">
        <v>18</v>
      </c>
      <c r="Y334" s="27" t="s">
        <v>316</v>
      </c>
      <c r="Z334" s="2">
        <v>0</v>
      </c>
      <c r="AA334" s="2">
        <v>2</v>
      </c>
      <c r="AB334" s="2">
        <v>2</v>
      </c>
    </row>
    <row r="335" spans="1:28" ht="12.75">
      <c r="A335" s="1">
        <v>26</v>
      </c>
      <c r="B335" s="2"/>
      <c r="C335" s="1">
        <v>10</v>
      </c>
      <c r="G335" s="1">
        <v>16</v>
      </c>
      <c r="K335" s="1">
        <v>8</v>
      </c>
      <c r="Q335" s="2">
        <v>15</v>
      </c>
      <c r="V335" s="1">
        <v>19</v>
      </c>
      <c r="Y335" s="27" t="s">
        <v>113</v>
      </c>
      <c r="Z335" s="2">
        <v>6</v>
      </c>
      <c r="AA335" s="2">
        <v>4</v>
      </c>
      <c r="AB335" s="2">
        <v>0</v>
      </c>
    </row>
    <row r="336" spans="1:28" ht="12.75">
      <c r="A336" s="1">
        <v>27</v>
      </c>
      <c r="B336" s="2"/>
      <c r="G336" s="1">
        <v>17</v>
      </c>
      <c r="K336" s="1">
        <v>9</v>
      </c>
      <c r="Q336" s="2">
        <v>20</v>
      </c>
      <c r="V336" s="1">
        <v>20</v>
      </c>
      <c r="Y336" s="34" t="s">
        <v>87</v>
      </c>
      <c r="Z336" s="2">
        <v>0</v>
      </c>
      <c r="AA336" s="2">
        <v>0</v>
      </c>
      <c r="AB336" s="2">
        <v>0</v>
      </c>
    </row>
    <row r="337" spans="1:28" ht="12.75">
      <c r="A337" s="1">
        <v>28</v>
      </c>
      <c r="B337" s="2"/>
      <c r="G337" s="1">
        <v>18</v>
      </c>
      <c r="K337" s="1">
        <v>10</v>
      </c>
      <c r="Q337" s="2">
        <v>25</v>
      </c>
      <c r="Y337" s="31" t="s">
        <v>268</v>
      </c>
      <c r="Z337" s="2">
        <v>0</v>
      </c>
      <c r="AA337" s="2">
        <v>0</v>
      </c>
      <c r="AB337" s="2">
        <v>0</v>
      </c>
    </row>
    <row r="338" spans="1:25" ht="12.75">
      <c r="A338" s="1">
        <v>29</v>
      </c>
      <c r="B338" s="2"/>
      <c r="E338" s="2" t="s">
        <v>148</v>
      </c>
      <c r="G338" s="1">
        <v>19</v>
      </c>
      <c r="K338" s="1">
        <v>11</v>
      </c>
      <c r="Q338" s="2">
        <v>30</v>
      </c>
      <c r="Y338" s="31"/>
    </row>
    <row r="339" spans="1:22" ht="12">
      <c r="A339" s="1">
        <v>30</v>
      </c>
      <c r="B339" s="2"/>
      <c r="E339" s="1" t="s">
        <v>58</v>
      </c>
      <c r="G339" s="1">
        <v>20</v>
      </c>
      <c r="K339" s="1">
        <v>12</v>
      </c>
      <c r="Q339" s="2">
        <v>35</v>
      </c>
      <c r="V339" s="1"/>
    </row>
    <row r="340" spans="1:22" ht="12">
      <c r="A340" s="1">
        <v>31</v>
      </c>
      <c r="B340" s="2"/>
      <c r="E340" s="2">
        <v>10</v>
      </c>
      <c r="G340" s="1">
        <v>21</v>
      </c>
      <c r="K340" s="1">
        <v>13</v>
      </c>
      <c r="Q340" s="2">
        <v>40</v>
      </c>
      <c r="S340" s="5" t="s">
        <v>321</v>
      </c>
      <c r="V340" s="1"/>
    </row>
    <row r="341" spans="1:26" ht="12">
      <c r="A341" s="1">
        <v>32</v>
      </c>
      <c r="E341" s="2">
        <v>25</v>
      </c>
      <c r="G341" s="1">
        <v>22</v>
      </c>
      <c r="K341" s="1">
        <v>14</v>
      </c>
      <c r="Q341" s="2">
        <v>45</v>
      </c>
      <c r="S341" s="1" t="s">
        <v>58</v>
      </c>
      <c r="V341" s="1"/>
      <c r="Y341" s="2">
        <v>1</v>
      </c>
      <c r="Z341" s="2">
        <v>2</v>
      </c>
    </row>
    <row r="342" spans="1:26" ht="12">
      <c r="A342" s="1">
        <v>33</v>
      </c>
      <c r="E342" s="2">
        <v>40</v>
      </c>
      <c r="G342" s="1">
        <v>23</v>
      </c>
      <c r="K342" s="1">
        <v>15</v>
      </c>
      <c r="Q342" s="2">
        <v>50</v>
      </c>
      <c r="S342" s="2">
        <v>5</v>
      </c>
      <c r="V342" s="1"/>
      <c r="Y342" s="2" t="s">
        <v>329</v>
      </c>
      <c r="Z342" s="2" t="s">
        <v>331</v>
      </c>
    </row>
    <row r="343" spans="1:26" ht="12">
      <c r="A343" s="1">
        <v>34</v>
      </c>
      <c r="E343" s="2">
        <v>50</v>
      </c>
      <c r="G343" s="1">
        <v>24</v>
      </c>
      <c r="K343" s="1">
        <v>16</v>
      </c>
      <c r="Q343" s="2">
        <v>55</v>
      </c>
      <c r="S343" s="2">
        <v>10</v>
      </c>
      <c r="V343" s="1"/>
      <c r="Y343" s="2" t="s">
        <v>330</v>
      </c>
      <c r="Z343" s="2">
        <v>0</v>
      </c>
    </row>
    <row r="344" spans="1:26" ht="12.75">
      <c r="A344" s="1">
        <v>35</v>
      </c>
      <c r="E344" s="2">
        <v>60</v>
      </c>
      <c r="G344" s="1">
        <v>25</v>
      </c>
      <c r="K344" s="1">
        <v>17</v>
      </c>
      <c r="Q344" s="2">
        <v>60</v>
      </c>
      <c r="S344" s="2">
        <v>15</v>
      </c>
      <c r="Y344" s="32" t="s">
        <v>174</v>
      </c>
      <c r="Z344" s="2">
        <v>20</v>
      </c>
    </row>
    <row r="345" spans="1:19" ht="12">
      <c r="A345" s="1">
        <v>36</v>
      </c>
      <c r="B345" s="23" t="s">
        <v>233</v>
      </c>
      <c r="C345" s="23"/>
      <c r="E345" s="2">
        <v>100</v>
      </c>
      <c r="G345" s="1">
        <v>26</v>
      </c>
      <c r="K345" s="1">
        <v>18</v>
      </c>
      <c r="Q345" s="2">
        <v>65</v>
      </c>
      <c r="R345" s="5"/>
      <c r="S345" s="2">
        <v>20</v>
      </c>
    </row>
    <row r="346" spans="1:26" ht="12">
      <c r="A346" s="1">
        <v>37</v>
      </c>
      <c r="C346" s="1" t="s">
        <v>58</v>
      </c>
      <c r="G346" s="1">
        <v>27</v>
      </c>
      <c r="K346" s="1">
        <v>19</v>
      </c>
      <c r="Q346" s="2">
        <v>70</v>
      </c>
      <c r="S346" s="2">
        <v>25</v>
      </c>
      <c r="Y346" s="2">
        <v>1</v>
      </c>
      <c r="Z346" s="2">
        <v>2</v>
      </c>
    </row>
    <row r="347" spans="1:25" ht="12">
      <c r="A347" s="1">
        <v>38</v>
      </c>
      <c r="C347" s="2">
        <v>5</v>
      </c>
      <c r="G347" s="1">
        <v>28</v>
      </c>
      <c r="K347" s="1">
        <v>20</v>
      </c>
      <c r="Q347" s="2">
        <v>75</v>
      </c>
      <c r="S347" s="2">
        <v>40</v>
      </c>
      <c r="Y347" s="2" t="s">
        <v>122</v>
      </c>
    </row>
    <row r="348" spans="1:26" ht="12.75">
      <c r="A348" s="1">
        <v>39</v>
      </c>
      <c r="C348" s="2">
        <v>6</v>
      </c>
      <c r="E348" s="26"/>
      <c r="G348" s="1">
        <v>29</v>
      </c>
      <c r="K348" s="1">
        <v>21</v>
      </c>
      <c r="Q348" s="2">
        <v>80</v>
      </c>
      <c r="S348" s="2">
        <v>45</v>
      </c>
      <c r="Y348" s="32" t="s">
        <v>123</v>
      </c>
      <c r="Z348" s="2">
        <v>0</v>
      </c>
    </row>
    <row r="349" spans="1:26" ht="12.75">
      <c r="A349" s="1">
        <v>40</v>
      </c>
      <c r="C349" s="2">
        <v>7</v>
      </c>
      <c r="K349" s="1">
        <v>22</v>
      </c>
      <c r="Q349" s="2">
        <v>85</v>
      </c>
      <c r="S349" s="2">
        <v>50</v>
      </c>
      <c r="Y349" s="32" t="s">
        <v>28</v>
      </c>
      <c r="Z349" s="2">
        <v>10</v>
      </c>
    </row>
    <row r="350" spans="1:26" ht="12.75">
      <c r="A350" s="1">
        <v>41</v>
      </c>
      <c r="C350" s="2">
        <v>8</v>
      </c>
      <c r="K350" s="1">
        <v>23</v>
      </c>
      <c r="Q350" s="2">
        <v>90</v>
      </c>
      <c r="S350" s="2">
        <v>55</v>
      </c>
      <c r="Y350" s="32" t="s">
        <v>79</v>
      </c>
      <c r="Z350" s="2">
        <v>20</v>
      </c>
    </row>
    <row r="351" spans="1:19" ht="12">
      <c r="A351" s="1">
        <v>42</v>
      </c>
      <c r="C351" s="2">
        <v>9</v>
      </c>
      <c r="K351" s="1">
        <v>24</v>
      </c>
      <c r="Q351" s="2">
        <v>95</v>
      </c>
      <c r="S351" s="2">
        <v>50</v>
      </c>
    </row>
    <row r="352" spans="1:26" ht="12">
      <c r="A352" s="1">
        <v>43</v>
      </c>
      <c r="C352" s="2">
        <v>10</v>
      </c>
      <c r="K352" s="1">
        <v>25</v>
      </c>
      <c r="Q352" s="2">
        <v>100</v>
      </c>
      <c r="S352" s="2">
        <v>55</v>
      </c>
      <c r="Y352" s="2">
        <v>1</v>
      </c>
      <c r="Z352" s="2">
        <v>2</v>
      </c>
    </row>
    <row r="353" spans="1:25" ht="12">
      <c r="A353" s="1">
        <v>44</v>
      </c>
      <c r="C353" s="2">
        <v>11</v>
      </c>
      <c r="Q353" s="2">
        <v>105</v>
      </c>
      <c r="S353" s="2">
        <v>70</v>
      </c>
      <c r="Y353" s="2" t="s">
        <v>178</v>
      </c>
    </row>
    <row r="354" spans="1:26" ht="12.75">
      <c r="A354" s="1">
        <v>45</v>
      </c>
      <c r="C354" s="2">
        <v>12</v>
      </c>
      <c r="Q354" s="2">
        <v>110</v>
      </c>
      <c r="S354" s="2">
        <v>75</v>
      </c>
      <c r="Y354" s="32" t="s">
        <v>84</v>
      </c>
      <c r="Z354" s="2">
        <v>0</v>
      </c>
    </row>
    <row r="355" spans="1:26" ht="12.75">
      <c r="A355" s="1">
        <v>46</v>
      </c>
      <c r="C355" s="2">
        <v>13</v>
      </c>
      <c r="Q355" s="2">
        <v>115</v>
      </c>
      <c r="S355" s="2"/>
      <c r="Y355" s="32" t="s">
        <v>155</v>
      </c>
      <c r="Z355" s="2">
        <v>30</v>
      </c>
    </row>
    <row r="356" spans="1:25" ht="12.75">
      <c r="A356" s="1">
        <v>47</v>
      </c>
      <c r="C356" s="2">
        <v>14</v>
      </c>
      <c r="G356" s="2" t="s">
        <v>264</v>
      </c>
      <c r="Q356" s="2">
        <v>120</v>
      </c>
      <c r="S356" s="2"/>
      <c r="Y356" s="32"/>
    </row>
    <row r="357" spans="1:17" ht="12">
      <c r="A357" s="1">
        <v>48</v>
      </c>
      <c r="C357" s="2">
        <v>15</v>
      </c>
      <c r="G357" s="1" t="s">
        <v>58</v>
      </c>
      <c r="Q357" s="2">
        <v>125</v>
      </c>
    </row>
    <row r="358" spans="1:28" ht="12">
      <c r="A358" s="1">
        <v>49</v>
      </c>
      <c r="C358" s="2">
        <v>16</v>
      </c>
      <c r="G358" s="2">
        <v>20</v>
      </c>
      <c r="Q358" s="2">
        <v>130</v>
      </c>
      <c r="Y358" s="2">
        <v>1</v>
      </c>
      <c r="Z358" s="2">
        <v>2</v>
      </c>
      <c r="AA358" s="2">
        <v>3</v>
      </c>
      <c r="AB358" s="2">
        <v>4</v>
      </c>
    </row>
    <row r="359" spans="1:28" ht="12">
      <c r="A359" s="1">
        <v>50</v>
      </c>
      <c r="C359" s="2">
        <v>17</v>
      </c>
      <c r="G359" s="2">
        <v>25</v>
      </c>
      <c r="Q359" s="2">
        <v>135</v>
      </c>
      <c r="Y359" s="2" t="s">
        <v>189</v>
      </c>
      <c r="AB359" s="2" t="s">
        <v>191</v>
      </c>
    </row>
    <row r="360" spans="3:28" ht="12">
      <c r="C360" s="2">
        <v>18</v>
      </c>
      <c r="G360" s="2">
        <v>45</v>
      </c>
      <c r="Q360" s="2">
        <v>140</v>
      </c>
      <c r="Y360" s="2" t="s">
        <v>190</v>
      </c>
      <c r="Z360" s="2" t="s">
        <v>58</v>
      </c>
      <c r="AB360" s="2">
        <v>0</v>
      </c>
    </row>
    <row r="361" spans="3:28" ht="12">
      <c r="C361" s="2">
        <v>19</v>
      </c>
      <c r="G361" s="2">
        <v>60</v>
      </c>
      <c r="Q361" s="2">
        <v>145</v>
      </c>
      <c r="Y361" s="2" t="s">
        <v>110</v>
      </c>
      <c r="Z361" s="33" t="s">
        <v>109</v>
      </c>
      <c r="AB361" s="2">
        <v>5</v>
      </c>
    </row>
    <row r="362" spans="3:17" ht="12">
      <c r="C362" s="2">
        <v>20</v>
      </c>
      <c r="Q362" s="2">
        <v>150</v>
      </c>
    </row>
    <row r="364" ht="12">
      <c r="G364" s="2" t="s">
        <v>203</v>
      </c>
    </row>
    <row r="365" spans="1:26" ht="12">
      <c r="A365" s="2" t="s">
        <v>215</v>
      </c>
      <c r="G365" s="1" t="s">
        <v>58</v>
      </c>
      <c r="Y365" s="2">
        <v>1</v>
      </c>
      <c r="Z365" s="2">
        <v>2</v>
      </c>
    </row>
    <row r="366" spans="1:25" ht="12">
      <c r="A366" s="1" t="s">
        <v>58</v>
      </c>
      <c r="G366" s="2">
        <v>20</v>
      </c>
      <c r="Y366" s="2" t="s">
        <v>106</v>
      </c>
    </row>
    <row r="367" spans="1:26" ht="12.75">
      <c r="A367" s="1">
        <v>4</v>
      </c>
      <c r="G367" s="2">
        <v>25</v>
      </c>
      <c r="I367" s="2" t="s">
        <v>202</v>
      </c>
      <c r="Y367" s="32" t="s">
        <v>298</v>
      </c>
      <c r="Z367" s="2">
        <v>0</v>
      </c>
    </row>
    <row r="368" spans="1:26" ht="12">
      <c r="A368" s="1">
        <v>5</v>
      </c>
      <c r="C368" s="2" t="s">
        <v>250</v>
      </c>
      <c r="G368" s="2">
        <v>45</v>
      </c>
      <c r="I368" s="1" t="s">
        <v>58</v>
      </c>
      <c r="Y368" s="2" t="s">
        <v>299</v>
      </c>
      <c r="Z368" s="2">
        <v>30</v>
      </c>
    </row>
    <row r="369" spans="1:11" ht="12">
      <c r="A369" s="1">
        <v>6</v>
      </c>
      <c r="C369" s="1" t="s">
        <v>58</v>
      </c>
      <c r="G369" s="2">
        <v>80</v>
      </c>
      <c r="I369" s="1">
        <v>8</v>
      </c>
      <c r="K369" s="2" t="s">
        <v>283</v>
      </c>
    </row>
    <row r="370" spans="1:11" ht="12">
      <c r="A370" s="1">
        <v>7</v>
      </c>
      <c r="C370" s="1">
        <v>2</v>
      </c>
      <c r="I370" s="1">
        <v>9</v>
      </c>
      <c r="K370" s="1" t="s">
        <v>58</v>
      </c>
    </row>
    <row r="371" spans="1:11" ht="12">
      <c r="A371" s="1">
        <v>8</v>
      </c>
      <c r="C371" s="1">
        <v>3</v>
      </c>
      <c r="E371" s="2" t="s">
        <v>198</v>
      </c>
      <c r="I371" s="1">
        <v>10</v>
      </c>
      <c r="K371" s="1">
        <v>5</v>
      </c>
    </row>
    <row r="372" spans="1:11" ht="12">
      <c r="A372" s="1">
        <v>9</v>
      </c>
      <c r="C372" s="1">
        <v>4</v>
      </c>
      <c r="E372" s="1" t="s">
        <v>58</v>
      </c>
      <c r="I372" s="1">
        <v>11</v>
      </c>
      <c r="K372" s="1">
        <v>6</v>
      </c>
    </row>
    <row r="373" spans="1:11" ht="12">
      <c r="A373" s="1">
        <v>10</v>
      </c>
      <c r="C373" s="1">
        <v>5</v>
      </c>
      <c r="E373" s="1">
        <v>3</v>
      </c>
      <c r="I373" s="1">
        <v>12</v>
      </c>
      <c r="K373" s="1">
        <v>7</v>
      </c>
    </row>
    <row r="374" spans="1:11" ht="12">
      <c r="A374" s="1">
        <v>11</v>
      </c>
      <c r="C374" s="1">
        <v>6</v>
      </c>
      <c r="E374" s="1">
        <v>4</v>
      </c>
      <c r="I374" s="1">
        <v>13</v>
      </c>
      <c r="K374" s="1">
        <v>8</v>
      </c>
    </row>
    <row r="375" spans="1:11" ht="12">
      <c r="A375" s="1">
        <v>12</v>
      </c>
      <c r="C375" s="1">
        <v>7</v>
      </c>
      <c r="E375" s="1">
        <v>5</v>
      </c>
      <c r="I375" s="1">
        <v>14</v>
      </c>
      <c r="K375" s="1">
        <v>9</v>
      </c>
    </row>
    <row r="376" spans="1:11" ht="12">
      <c r="A376" s="1">
        <v>13</v>
      </c>
      <c r="C376" s="1">
        <v>8</v>
      </c>
      <c r="E376" s="1">
        <v>6</v>
      </c>
      <c r="I376" s="1">
        <v>15</v>
      </c>
      <c r="K376" s="1">
        <v>10</v>
      </c>
    </row>
    <row r="377" spans="1:11" ht="12">
      <c r="A377" s="1">
        <v>14</v>
      </c>
      <c r="C377" s="1">
        <v>9</v>
      </c>
      <c r="E377" s="1">
        <v>7</v>
      </c>
      <c r="I377" s="1">
        <v>16</v>
      </c>
      <c r="K377" s="1">
        <v>11</v>
      </c>
    </row>
    <row r="378" spans="1:11" ht="12">
      <c r="A378" s="1">
        <v>15</v>
      </c>
      <c r="C378" s="1">
        <v>10</v>
      </c>
      <c r="E378" s="1">
        <v>8</v>
      </c>
      <c r="I378" s="1">
        <v>17</v>
      </c>
      <c r="K378" s="1">
        <v>12</v>
      </c>
    </row>
    <row r="379" spans="1:11" ht="12">
      <c r="A379" s="1">
        <v>16</v>
      </c>
      <c r="C379" s="1">
        <v>11</v>
      </c>
      <c r="E379" s="1">
        <v>9</v>
      </c>
      <c r="I379" s="1">
        <v>18</v>
      </c>
      <c r="K379" s="1">
        <v>13</v>
      </c>
    </row>
    <row r="380" spans="1:11" ht="12">
      <c r="A380" s="1">
        <v>17</v>
      </c>
      <c r="C380" s="1">
        <v>12</v>
      </c>
      <c r="E380" s="1">
        <v>10</v>
      </c>
      <c r="I380" s="1">
        <v>19</v>
      </c>
      <c r="K380" s="1">
        <v>14</v>
      </c>
    </row>
    <row r="381" spans="1:11" ht="12">
      <c r="A381" s="1">
        <v>18</v>
      </c>
      <c r="C381" s="1">
        <v>13</v>
      </c>
      <c r="E381" s="1">
        <v>11</v>
      </c>
      <c r="I381" s="1">
        <v>20</v>
      </c>
      <c r="K381" s="1">
        <v>15</v>
      </c>
    </row>
    <row r="382" spans="1:11" ht="12">
      <c r="A382" s="1">
        <v>19</v>
      </c>
      <c r="C382" s="1">
        <v>14</v>
      </c>
      <c r="E382" s="1">
        <v>12</v>
      </c>
      <c r="I382" s="1">
        <v>21</v>
      </c>
      <c r="K382" s="1">
        <v>16</v>
      </c>
    </row>
    <row r="383" spans="1:11" ht="12">
      <c r="A383" s="1">
        <v>20</v>
      </c>
      <c r="C383" s="1">
        <v>15</v>
      </c>
      <c r="E383" s="1">
        <v>13</v>
      </c>
      <c r="I383" s="1">
        <v>22</v>
      </c>
      <c r="K383" s="1">
        <v>17</v>
      </c>
    </row>
    <row r="384" spans="1:11" ht="12">
      <c r="A384" s="1">
        <v>21</v>
      </c>
      <c r="C384" s="1">
        <v>16</v>
      </c>
      <c r="E384" s="1">
        <v>14</v>
      </c>
      <c r="I384" s="1">
        <v>23</v>
      </c>
      <c r="K384" s="1">
        <v>18</v>
      </c>
    </row>
    <row r="385" spans="1:11" ht="12">
      <c r="A385" s="1">
        <v>22</v>
      </c>
      <c r="C385" s="1">
        <v>17</v>
      </c>
      <c r="E385" s="1">
        <v>15</v>
      </c>
      <c r="I385" s="1">
        <v>24</v>
      </c>
      <c r="K385" s="1">
        <v>19</v>
      </c>
    </row>
    <row r="386" spans="1:11" ht="12">
      <c r="A386" s="1">
        <v>23</v>
      </c>
      <c r="C386" s="1">
        <v>18</v>
      </c>
      <c r="E386" s="1">
        <v>16</v>
      </c>
      <c r="I386" s="1">
        <v>25</v>
      </c>
      <c r="K386" s="1"/>
    </row>
    <row r="387" spans="1:11" ht="12">
      <c r="A387" s="1">
        <v>24</v>
      </c>
      <c r="C387" s="1">
        <v>19</v>
      </c>
      <c r="E387" s="1">
        <v>17</v>
      </c>
      <c r="I387" s="1">
        <v>26</v>
      </c>
      <c r="K387" s="1"/>
    </row>
    <row r="388" spans="1:9" ht="12">
      <c r="A388" s="1">
        <v>25</v>
      </c>
      <c r="C388" s="1">
        <v>20</v>
      </c>
      <c r="E388" s="1">
        <v>18</v>
      </c>
      <c r="I388" s="1">
        <v>27</v>
      </c>
    </row>
    <row r="389" spans="1:9" ht="12">
      <c r="A389" s="1">
        <v>26</v>
      </c>
      <c r="E389" s="1">
        <v>19</v>
      </c>
      <c r="I389" s="1">
        <v>28</v>
      </c>
    </row>
    <row r="390" spans="1:9" ht="12">
      <c r="A390" s="1">
        <v>27</v>
      </c>
      <c r="E390" s="1">
        <v>20</v>
      </c>
      <c r="I390" s="1">
        <v>29</v>
      </c>
    </row>
    <row r="391" spans="1:9" ht="12">
      <c r="A391" s="1">
        <v>28</v>
      </c>
      <c r="E391" s="1"/>
      <c r="I391" s="1">
        <v>30</v>
      </c>
    </row>
    <row r="392" spans="1:9" ht="12">
      <c r="A392" s="1">
        <v>29</v>
      </c>
      <c r="I392" s="1">
        <v>31</v>
      </c>
    </row>
    <row r="393" spans="1:9" ht="12">
      <c r="A393" s="1">
        <v>30</v>
      </c>
      <c r="I393" s="1">
        <v>32</v>
      </c>
    </row>
    <row r="394" spans="1:9" ht="12">
      <c r="A394" s="1">
        <v>31</v>
      </c>
      <c r="I394" s="1">
        <v>33</v>
      </c>
    </row>
    <row r="395" spans="1:9" ht="12">
      <c r="A395" s="1">
        <v>32</v>
      </c>
      <c r="I395" s="1">
        <v>34</v>
      </c>
    </row>
    <row r="396" spans="1:9" ht="12">
      <c r="A396" s="1">
        <v>33</v>
      </c>
      <c r="I396" s="1">
        <v>35</v>
      </c>
    </row>
    <row r="397" spans="1:9" ht="12">
      <c r="A397" s="1">
        <v>34</v>
      </c>
      <c r="I397" s="1">
        <v>36</v>
      </c>
    </row>
    <row r="398" spans="1:9" ht="12">
      <c r="A398" s="1">
        <v>35</v>
      </c>
      <c r="I398" s="1">
        <v>37</v>
      </c>
    </row>
    <row r="399" spans="1:9" ht="12">
      <c r="A399" s="1">
        <v>36</v>
      </c>
      <c r="I399" s="1">
        <v>38</v>
      </c>
    </row>
    <row r="400" spans="1:9" ht="12">
      <c r="A400" s="1">
        <v>37</v>
      </c>
      <c r="I400" s="1">
        <v>39</v>
      </c>
    </row>
    <row r="401" spans="1:9" ht="12">
      <c r="A401" s="1">
        <v>38</v>
      </c>
      <c r="I401" s="1">
        <v>40</v>
      </c>
    </row>
    <row r="402" spans="1:9" ht="12">
      <c r="A402" s="1">
        <v>39</v>
      </c>
      <c r="I402" s="1">
        <v>41</v>
      </c>
    </row>
    <row r="403" spans="1:9" ht="12">
      <c r="A403" s="1">
        <v>40</v>
      </c>
      <c r="I403" s="1">
        <v>42</v>
      </c>
    </row>
    <row r="404" spans="1:9" ht="12">
      <c r="A404" s="1">
        <v>41</v>
      </c>
      <c r="I404" s="1">
        <v>43</v>
      </c>
    </row>
    <row r="405" spans="1:9" ht="12">
      <c r="A405" s="1">
        <v>42</v>
      </c>
      <c r="I405" s="1">
        <v>44</v>
      </c>
    </row>
    <row r="406" spans="1:9" ht="12">
      <c r="A406" s="1">
        <v>43</v>
      </c>
      <c r="I406" s="1">
        <v>45</v>
      </c>
    </row>
    <row r="407" spans="1:9" ht="12">
      <c r="A407" s="1">
        <v>44</v>
      </c>
      <c r="I407" s="1">
        <v>46</v>
      </c>
    </row>
    <row r="408" spans="1:9" ht="12">
      <c r="A408" s="1">
        <v>45</v>
      </c>
      <c r="I408" s="1">
        <v>47</v>
      </c>
    </row>
    <row r="409" spans="1:9" ht="12">
      <c r="A409" s="1">
        <v>46</v>
      </c>
      <c r="I409" s="1">
        <v>48</v>
      </c>
    </row>
    <row r="410" spans="1:9" ht="12">
      <c r="A410" s="1">
        <v>47</v>
      </c>
      <c r="I410" s="1">
        <v>49</v>
      </c>
    </row>
    <row r="411" spans="1:9" ht="12">
      <c r="A411" s="1">
        <v>48</v>
      </c>
      <c r="I411" s="1">
        <v>50</v>
      </c>
    </row>
    <row r="412" spans="1:9" ht="12">
      <c r="A412" s="1">
        <v>49</v>
      </c>
      <c r="I412" s="1"/>
    </row>
    <row r="413" spans="1:9" ht="12">
      <c r="A413" s="1">
        <v>50</v>
      </c>
      <c r="I413" s="1"/>
    </row>
    <row r="414" ht="12">
      <c r="I414" s="1"/>
    </row>
    <row r="415" ht="12">
      <c r="I415" s="1"/>
    </row>
  </sheetData>
  <sheetProtection password="E698" sheet="1" objects="1" scenarios="1"/>
  <mergeCells count="7">
    <mergeCell ref="A277:A278"/>
    <mergeCell ref="V275:W275"/>
    <mergeCell ref="A2:X2"/>
    <mergeCell ref="A3:X3"/>
    <mergeCell ref="A7:X7"/>
    <mergeCell ref="M230:N230"/>
    <mergeCell ref="M232:N232"/>
  </mergeCells>
  <dataValidations count="70">
    <dataValidation type="list" allowBlank="1" showInputMessage="1" showErrorMessage="1" promptTitle="Anzahl der Skelettbogenreiter" prompt="Bitte wähle die Anzahl aller Skelettbogenreiter in allen Einheiten dieser Truppengattung aus!" errorTitle="Da stimmt was nicht" error="Bitte wähle die Truppenstärke aus der Liste aus!" sqref="B159 B154">
      <formula1>$V$319:$V$336</formula1>
    </dataValidation>
    <dataValidation type="list" allowBlank="1" showInputMessage="1" showErrorMessage="1" promptTitle="Schädelkatapulte" prompt="Bitte wähle die Anzahl der Schädelkatapulte aus der Liste aus!" errorTitle="So viele?!?" error="Mehr als drei? Was für eine Armee! Bitte wähle aus der Liste aus!" sqref="B232">
      <formula1>$A$303:$A$306</formula1>
    </dataValidation>
    <dataValidation type="list" allowBlank="1" showInputMessage="1" showErrorMessage="1" promptTitle="Nekaph der Herold" prompt="Bitte wähle aus, ob Nekaph der Herold an der Schlacht teilnimmt. Wenn ja, wähle 1 aus der Liste aus, ansonsten -!" errorTitle="Das geht nicht!" error="Wähle aus der Liste aus." sqref="B79">
      <formula1>$A$303:$A$304</formula1>
    </dataValidation>
    <dataValidation type="list" allowBlank="1" showInputMessage="1" showErrorMessage="1" promptTitle="Manticor" prompt="Wählen Sie die Aufwertungen des Manticors Blindwütige Raserei (25 P) und/oder Eisenharte Haut (20 P) aus der Liste aus." sqref="X67:X70 X75">
      <formula1>Armeebogen!$Y$388:$Y$390</formula1>
    </dataValidation>
    <dataValidation type="list" allowBlank="1" showInputMessage="1" showErrorMessage="1" promptTitle="Laden der verdammten Seelen" prompt="Bitte wähle die Anzahl der Laden der verdammten Seelen aus der Liste aus!" errorTitle="So viele?!?" error="Mehr als drei? Was für eine Armee! Bitte wähle aus der Liste aus!" sqref="B239">
      <formula1>$A$303:$A$306</formula1>
    </dataValidation>
    <dataValidation type="list" allowBlank="1" showInputMessage="1" showErrorMessage="1" promptTitle="Nekrolith-Kolosse" prompt="Bitte wähle die Anzahl der Nekrolith-Kolosse aus der Liste aus!" errorTitle="So viele?!?" error="Mehr als drei? Was für eine Armee! Bitte wähle aus der Liste aus!" sqref="B252">
      <formula1>$A$303:$A$306</formula1>
    </dataValidation>
    <dataValidation type="list" allowBlank="1" showInputMessage="1" showErrorMessage="1" promptTitle="Hierotitanen" prompt="Bitte wähle die Anzahl der Hierotitanen aus der Liste aus!" errorTitle="So viele?!?" error="Mehr als drei? Was für eine Armee! Bitte wähle aus der Liste aus!" sqref="B260">
      <formula1>$A$303:$A$306</formula1>
    </dataValidation>
    <dataValidation type="list" allowBlank="1" showInputMessage="1" showErrorMessage="1" promptTitle="Nekrosphinxe" prompt="Bitte wähle die Anzahl der Nekrosphinxe aus der Liste aus!" errorTitle="So viele?!?" error="Mehr als drei? Was für eine Armee! Bitte wähle aus der Liste aus!" sqref="B268">
      <formula1>$A$303:$A$306</formula1>
    </dataValidation>
    <dataValidation type="list" allowBlank="1" showInputMessage="1" showErrorMessage="1" promptTitle="Skelett-Streitwagen Einheit" prompt="Bitte wähle aus der Liste aus, wieviele Skelett-Streitwagen diese Einheit umfaßt!" errorTitle="Du Wüstenlaus!" error="Du willst die glorreichen Truppen Khemris durch die Wüste führen? Bitte wähle aus der Liste aus!" sqref="B164">
      <formula1>$C$369:$C$388</formula1>
    </dataValidation>
    <dataValidation type="list" allowBlank="1" showInputMessage="1" showErrorMessage="1" promptTitle="Meister der Wagen" prompt="Wenn diese Einheit Skelett-Streitwagen einern Meister der Wagen enthält, wähle 1 aus der Liste aus!" errorTitle="Du Wüstenlaus!" error="Du willst die glorreichen Truppen Khemris durch die Wüste führen? Bitte wähle aus der Liste aus!" sqref="B166">
      <formula1>$A$303:$A$306</formula1>
    </dataValidation>
    <dataValidation type="list" allowBlank="1" showInputMessage="1" showErrorMessage="1" promptTitle="Meister der Späher" prompt="Bitte wähle die Anzahl der bei den Skelettbogenreitern eingesetzten Meister der Späher aus der Liste aus!" errorTitle="So viele?!?" error="Mehr als drei? Was für eine Armee! Bitte wähle aus der Liste aus!" sqref="B160">
      <formula1>$A$303:$A$306</formula1>
    </dataValidation>
    <dataValidation type="list" allowBlank="1" showInputMessage="1" showErrorMessage="1" promptTitle="Meister der Reiter" prompt="Bitte wähle die Anzahl der bei den Skelettreitern eingesetzten Meister der Reiter aus der Liste aus!" errorTitle="So viele?!?" error="Mehr als drei? Was für eine Armee! Bitte wähle aus der Liste aus!" sqref="B155">
      <formula1>$A$303:$A$306</formula1>
    </dataValidation>
    <dataValidation type="list" allowBlank="1" showInputMessage="1" showErrorMessage="1" promptTitle="Anzahl der Skelettbogenschützen" prompt="Bitte wähle die Anzahl aller Skelettbogenschützen in allen Einheiten dieser Truppengattung aus!" errorTitle="Da stimmt was nicht" error="Bitte wähle die Truppenstärke aus der Liste aus!" sqref="B145">
      <formula1>$A$317:$A$359</formula1>
    </dataValidation>
    <dataValidation type="list" allowBlank="1" showInputMessage="1" showErrorMessage="1" promptTitle="Meister der Bögen" prompt="Bitte wähle die Anzahl der bei den Skelettbogenschützen eingesetzten Meister der Bögen aus der Liste aus!" errorTitle="So viele?!?" error="Mehr als drei? Was für eine Armee! Bitte wähle aus der Liste aus!" sqref="B146">
      <formula1>$A$303:$A$306</formula1>
    </dataValidation>
    <dataValidation type="list" allowBlank="1" showInputMessage="1" showErrorMessage="1" promptTitle="Anzahl der Skelettkrieger" prompt="Bitte wähle die Anzahl aller Skelettkrieger in allen Einheiten dieser Truppengattung aus!" errorTitle="Da stimmt was nicht" error="Bitte wähle die Truppenstärke aus der Liste aus!" sqref="B149">
      <formula1>$A$317:$A$359</formula1>
    </dataValidation>
    <dataValidation type="list" allowBlank="1" showInputMessage="1" showErrorMessage="1" promptTitle="Meister der Waffen" prompt="Bitte wähle die Anzahl der bei den Skelettkrieger eingesetzten Meister der Waffen aus der Liste aus!" errorTitle="So viele?!?" error="Mehr als drei? Was für eine Armee! Bitte wähle aus der Liste aus!" sqref="B150">
      <formula1>$A$303:$A$306</formula1>
    </dataValidation>
    <dataValidation type="list" allowBlank="1" showInputMessage="1" showErrorMessage="1" promptTitle="Anzahl der Gruftwächter" prompt="Bitte wähle die Anzahl aller Gruftwächter in allen Einheiten dieser Truppengattung aus!" errorTitle="Da stimmt was nicht" error="Bitte wähle die Truppenstärke aus der Liste aus!" sqref="B173">
      <formula1>$A$317:$A$359</formula1>
    </dataValidation>
    <dataValidation type="list" allowBlank="1" showInputMessage="1" showErrorMessage="1" promptTitle="Hauptleute der Gruftwächter" prompt="Bitte wähle die Anzahl der bei den Gruftwächtern eingesetzten Hauptleute aus der Liste aus!" errorTitle="So viele?!?" error="Mehr als drei? Was für eine Armee! Bitte wähle aus der Liste aus!" sqref="B174">
      <formula1>$A$303:$A$306</formula1>
    </dataValidation>
    <dataValidation type="list" allowBlank="1" showInputMessage="1" showErrorMessage="1" promptTitle="Ushabti" prompt="Bitte wähle die Ushabti in allen Einheiten dieser Truppengattung aus der Liste aus!" errorTitle="Du Wüstenlaus!" error="Du willst die glorreichen Truppen Khemris durch die Wüste führen? Bitte wähle aus der Liste aus!" sqref="B178">
      <formula1>$C$369:$C$388</formula1>
    </dataValidation>
    <dataValidation type="list" allowBlank="1" showInputMessage="1" showErrorMessage="1" promptTitle="Ehrwürdige Ushabti" prompt="Bitte wähle die Anzahl der bei den Ushabti eingesetzten Ehrwürdigen Ushabti aus der Liste aus!" errorTitle="So viele?!?" error="Mehr als drei? Was für eine Armee! Bitte wähle aus der Liste aus!" sqref="B179">
      <formula1>$A$303:$A$306</formula1>
    </dataValidation>
    <dataValidation type="list" allowBlank="1" showInputMessage="1" showErrorMessage="1" promptTitle="Nekropolenritter" prompt="Bitte wähle die Nekropolenritter in allen Einheiten dieser Truppengattung aus der Liste aus!" errorTitle="Du Wüstenlaus!" error="Du willst die glorreichen Truppen Khemris durch die Wüste führen? Bitte wähle aus der Liste aus!" sqref="B184">
      <formula1>$C$369:$C$388</formula1>
    </dataValidation>
    <dataValidation type="list" allowBlank="1" showInputMessage="1" showErrorMessage="1" promptTitle="Hauptleute der Nekropolenritter" prompt="Bitte wähle die Anzahl der bei den Nekropolenrittern eingesetzten Hauptleute aus der Liste aus!" errorTitle="So viele?!?" error="Mehr als drei? Was für eine Armee! Bitte wähle aus der Liste aus!" sqref="B185">
      <formula1>$A$303:$A$306</formula1>
    </dataValidation>
    <dataValidation type="list" allowBlank="1" showInputMessage="1" showErrorMessage="1" promptTitle="Gruftskorpione" prompt="Bitte wähle die Gruftskorpione in allen Einheiten dieser Truppengattung aus der Liste aus!" errorTitle="Du Wüstenlaus!" error="Du willst die glorreichen Truppen Khemris durch die Wüste führen? Bitte wähle aus der Liste aus!" sqref="B213">
      <formula1>$K$327:$K$347</formula1>
    </dataValidation>
    <dataValidation type="list" allowBlank="1" showInputMessage="1" showErrorMessage="1" promptTitle="Khemrische Kriegssphinxe" prompt="Bitte wähle die Anzahl der khemrischen Kriegssphinxe aus der Liste aus!" errorTitle="So viele?!?" error="Mehr als drei? Was für eine Armee! Bitte wähle aus der Liste aus!" sqref="B201">
      <formula1>$A$303:$A$306</formula1>
    </dataValidation>
    <dataValidation type="list" allowBlank="1" showInputMessage="1" showErrorMessage="1" promptTitle="Todesgeier" prompt="Bitte wähle Todesgeier in allen Einheiten dieser Truppengattung aus der Liste aus!" errorTitle="Du Wüstenlaus!" error="Du willst die glorreichen Truppen Khemris durch die Wüste führen? Bitte wähle aus der Liste aus!" sqref="B227">
      <formula1>$E$372:$E$390</formula1>
    </dataValidation>
    <dataValidation type="list" allowBlank="1" showInputMessage="1" showErrorMessage="1" promptTitle="Gruftschwärme" prompt="Bitte wähle die Gruftschwärme in dieser Einheiten aus der Liste aus!" errorTitle="Du Wüstenlaus!" error="Du willst die glorreichen Truppen Khemris durch die Wüste führen? Bitte wähle aus der Liste aus!" sqref="B221">
      <formula1>$C$369:$C$378</formula1>
    </dataValidation>
    <dataValidation type="list" allowBlank="1" showInputMessage="1" showErrorMessage="1" promptTitle="Grabjäger" prompt="Bitte wähle die Grabjäger in allen Einheiten dieser Truppengattung aus der Liste aus!" errorTitle="Du Wüstenlaus!" error="Du willst die glorreichen Truppen Khemris durch die Wüste führen? Bitte wähle aus der Liste aus!" sqref="B192">
      <formula1>$E$372:$E$390</formula1>
    </dataValidation>
    <dataValidation type="list" allowBlank="1" showInputMessage="1" showErrorMessage="1" promptTitle="Anzahl der Gruftherolde" prompt="Bitte wähle die Anzahl aller an der Schlacht teilnehmenden Gruftherolde aus der Liste aus!" errorTitle="So viele?!?" error="Mehr als drei? Was für eine Armee! Bitte wähle aus der Liste aus!" sqref="B122">
      <formula1>$A$303:$A$306</formula1>
    </dataValidation>
    <dataValidation type="list" allowBlank="1" showInputMessage="1" showErrorMessage="1" promptTitle="Anzahl der Priester des Todes" prompt="Bitte wähle die Anzahl aller an der Schlacht teilnehmenden Priester des Todes aus der Liste aus!" errorTitle="So viele?!?" error="Mehr als drei? Was für eine Armee! Bitte wähle aus der Liste aus!" sqref="B133">
      <formula1>$A$303:$A$306</formula1>
    </dataValidation>
    <dataValidation type="list" allowBlank="1" showInputMessage="1" showErrorMessage="1" promptTitle="Magierstufe" prompt="Dieser Priester des Todes ist ein Magier der Stufe 1. Er kann auf einen Magier der Stufe 2 (35 P) aufgewertet werden. Soll er aufgewertet werden, dann wähle 2 aus der Liste aus!" errorTitle="Du Wüstenlaus!" error="Du willst die glorreichen Truppen Khemris führen? Bitte wähle aus der Liste aus!" sqref="B134">
      <formula1>$G$312:$G$313</formula1>
    </dataValidation>
    <dataValidation type="list" allowBlank="1" showInputMessage="1" showErrorMessage="1" promptTitle="Anzahl der Hohepriester" prompt="Bitte wähle die Anzahl aller an der Schlacht teilnehmenden Hohepriester des Todes  aus der Liste aus!" errorTitle="So viele?!?" error="Mehr als drei? Was für eine Armee! Bitte wähle aus der Liste aus!" sqref="B72">
      <formula1>$A$303:$A$306</formula1>
    </dataValidation>
    <dataValidation type="list" allowBlank="1" showInputMessage="1" showErrorMessage="1" promptTitle="Magierstufe" prompt="Dieser Hohepriester des Todes ist ein Magier der Stufe 3. Er kann auf einen Magier der Stufe 4 (35 P) aufgewertet werden. Soll er aufgewertet werden, dann wähle 4 aus der Liste aus!" errorTitle="Du Wüstenlaus!" error="Du willst die glorreichen Truppen Khemris führen? Bitte wähle aus der Liste aus!" sqref="B73">
      <formula1>$F$312:$F$313</formula1>
    </dataValidation>
    <dataValidation type="list" allowBlank="1" showInputMessage="1" showErrorMessage="1" promptTitle="Anzahl der Gruftprinzen" prompt="Bitte wähle die Anzahl aller an der Schlacht teilnehmenden Gruftprinzen aus der Liste aus!" errorTitle="So viele?!?" error="Mehr als drei? Was für eine Armee! Bitte wähle aus der Liste aus!" sqref="B110">
      <formula1>$A$303:$A$306</formula1>
    </dataValidation>
    <dataValidation type="list" allowBlank="1" showInputMessage="1" showErrorMessage="1" promptTitle="Anzahl der Nekrotekten" prompt="Bitte wähle die Anzahl aller an der Schlacht teilnehmenden Nekrotekten aus der Liste aus!" errorTitle="So viele?!?" error="Mehr als drei? Was für eine Armee! Bitte wähle aus der Liste aus!" sqref="B138">
      <formula1>$A$303:$A$306</formula1>
    </dataValidation>
    <dataValidation type="list" allowBlank="1" showInputMessage="1" showErrorMessage="1" promptTitle="Prinz Apophas" prompt="Bitte wähle aus, ob Prinz Apophas an der Schlacht teilnimmt. Wenn ja, wähle 1 aus der Liste aus, ansonsten -!" errorTitle="Das geht nicht!" error="Wähle aus der Liste aus." sqref="B92">
      <formula1>$A$303:$A$304</formula1>
    </dataValidation>
    <dataValidation type="list" allowBlank="1" showInputMessage="1" showErrorMessage="1" promptTitle="Ramhotep der Visionär" prompt="Bitte wähle aus, ob Ramhotep der Visionär an der Schlacht teilnimmt. Wenn ja, wähle 1 aus der Liste aus, ansonsten -!" errorTitle="Das geht nicht!" error="Wähle aus der Liste aus." sqref="B102">
      <formula1>$A$303:$A$304</formula1>
    </dataValidation>
    <dataValidation type="list" allowBlank="1" showInputMessage="1" showErrorMessage="1" promptTitle="Settra der Unvergängliche" prompt="Bitte wähle aus, ob Settra der Unvergängliche an der Schlacht teilnimmt. Wenn ja, wähle 1 aus der Liste aus, ansonsten -!" errorTitle="Das geht nicht!" error="Wähle aus der Liste aus." sqref="B10">
      <formula1>$A$303:$A$304</formula1>
    </dataValidation>
    <dataValidation type="list" allowBlank="1" showInputMessage="1" showErrorMessage="1" promptTitle="Hochkönigin Khalida" prompt="Bitte wähle aus, ob Hochkönigin Khalida an der Schlacht teilnimmt. Wenn ja, wähle 1 aus der Liste aus, ansonsten -!" errorTitle="Das geht nicht!" error="Wähle aus der Liste aus." sqref="B36">
      <formula1>$A$303:$A$304</formula1>
    </dataValidation>
    <dataValidation type="list" allowBlank="1" showInputMessage="1" showErrorMessage="1" promptTitle="Arkhan der Schwarze" prompt="Bitte wähle aus, ob Arkhan der Schwarze an der Schlacht teilnimmt. Wenn ja, wähle 1 aus der Liste aus, ansonsten -!" errorTitle="Das geht nicht!" error="Wähle aus der Liste aus." sqref="B24">
      <formula1>$A$303:$A$304</formula1>
    </dataValidation>
    <dataValidation type="list" allowBlank="1" showInputMessage="1" showErrorMessage="1" promptTitle="Großhierophant Khatep" prompt="Bitte wähle aus, ob Großhierophant Khatep an der Schlacht teilnimmt. Wenn ja, wähle 1 aus der Liste aus, ansonsten -!" errorTitle="Das geht nicht!" error="Wähle aus der Liste aus." sqref="B48">
      <formula1>$A$303:$A$304</formula1>
    </dataValidation>
    <dataValidation type="list" allowBlank="1" showInputMessage="1" showErrorMessage="1" promptTitle="Anzahl der Gruftkönige" prompt="Bitte wähle die Anzahl aller an der Schlacht teilnehmenden Gruftkönige aus der Liste aus!" errorTitle="So viele?!?" error="Mehr als drei? Was für eine Armee! Bitte wähle aus der Liste aus!" sqref="B57">
      <formula1>$A$303:$A$306</formula1>
    </dataValidation>
    <dataValidation type="list" allowBlank="1" showInputMessage="1" showErrorMessage="1" promptTitle="Zweihandwaffe" prompt="Bitte wähle aus der Liste aus, ob der Charakter oder der Krieger eine Zweihandwaffe führt." errorTitle="Du Wüstenlaus!" error="Das geht nicht! Bitte wähle aus der Liste aus!" sqref="P252 P122 P110 P57">
      <formula1>$J$309:$J$310</formula1>
    </dataValidation>
    <dataValidation type="list" allowBlank="1" showInputMessage="1" showErrorMessage="1" promptTitle="Anzahl der Handwaffen" prompt="Bitte wähle die Anzahl der Handwaffen aus, die der Charakter oder der Krieger verwendet, aus der Liste aus!" errorTitle="Du Wüstenlaus!" error="Das geht nicht! Bitte wähle aus der Liste aus!" sqref="O252 O178">
      <formula1>$J$304:$J$305</formula1>
    </dataValidation>
    <dataValidation type="list" allowBlank="1" showInputMessage="1" showErrorMessage="1" promptTitle="Weitere Waffe" prompt="Wähle aus der Liste aus, ob der Nekrolith-Koloß einen Bogen der Wüste (20 P) erhält." errorTitle="Du Wüstenlaus!" error="Das geht nicht! Wähle aus der Liste aus!" sqref="X256">
      <formula1>$Y$343:$Y$344</formula1>
    </dataValidation>
    <dataValidation type="list" allowBlank="1" showInputMessage="1" showErrorMessage="1" promptTitle="Weitere Waffe" prompt="Wähle aus der Liste aus, ob die Nekrosphinx einen Giftstachel (10 P) erhält." errorTitle="Du Wüstenlaus!" error="Das geht nicht! Wähle aus der Liste aus!" sqref="X271">
      <formula1>$Y$348:$Y$349</formula1>
    </dataValidation>
    <dataValidation type="list" allowBlank="1" showInputMessage="1" showErrorMessage="1" promptTitle="Weitere Waffe" prompt="Wähle aus der Liste aus, ob die Khemrische Kriegssphinx einen Giftstachel (10 P) oder Flammendes Brüllen (20 P) erhält." errorTitle="Du Wüstenlaus!" error="Das geht nicht! Wähle aus der Liste aus!" sqref="X208:X209 X131 X118:X119 X65:X66">
      <formula1>$Y$348:$Y$350</formula1>
    </dataValidation>
    <dataValidation type="list" allowBlank="1" showInputMessage="1" showErrorMessage="1" promptTitle="Schädel des Feindes" prompt="Wähle aus der Liste aus, ob das Schädelkatapult die Aufwertung Schädel des Feindes (30 P) erhält." errorTitle="Du Wüstenlaus!" error="Das geht nicht! Wähle aus der Liste aus!" sqref="X236">
      <formula1>$Y$354:$Y$355</formula1>
    </dataValidation>
    <dataValidation type="list" allowBlank="1" showInputMessage="1" showErrorMessage="1" promptTitle="Anzahl Musiker" prompt="Bitte wähle die Anzahl aller eingesetzten Musiker dieser Truppengattung aus! Man darf nur einen Musiker je Einheit verwenden." errorTitle="So viele?!?" error="Mehr als drei? Was für eine Armee! Bitte wähle aus der Liste aus!" sqref="M184 M173 M178 M164 M159 M154 M149 M145">
      <formula1>$A$303:$A$306</formula1>
    </dataValidation>
    <dataValidation type="list" allowBlank="1" showInputMessage="1" showErrorMessage="1" promptTitle="Anzahl Standartenträger" prompt="Bitte wähle die Anzahl aller eingesetzten Standartenträger dieser Truppengattung aus! Man darf nur einen Standartenträger je Einheit verwenden." errorTitle="So viele?!?" error="Mehr als drei? Was für eine Armee! Bitte wähle aus der Liste aus!" sqref="N184 N173 N178 N164 N159 N154 N149 N145">
      <formula1>$A$303:$A$306</formula1>
    </dataValidation>
    <dataValidation type="list" allowBlank="1" showInputMessage="1" showErrorMessage="1" promptTitle="Bergaben unter dem Sand" prompt="Wähle aus der Liste aus, ob diese Einheit die Sonderregel Begraben unter dem Sand (5 P je Modell) erhält." errorTitle="Du Wüstenlaus!" error="Das geht nicht! Wähle aus der Liste aus!" sqref="X187">
      <formula1>$Y$360:$Y$361</formula1>
    </dataValidation>
    <dataValidation type="list" allowBlank="1" showInputMessage="1" showErrorMessage="1" promptTitle="Magische Standarte" prompt="Diese Einheit kann eine magische Standarte im Wert von bis zu 50 Punkten erhalten (Regelbuch 8. Edition, Armeebuch S.63). Wähle einen entsprechenden Wert aus der Liste aus!" errorTitle="Du Wüstenlaus!" error="Du willst die glorreichen Truppen Khemris durch die Wüste führen? Bitte wähle aus der Liste aus!" sqref="V173">
      <formula1>$Q$332:$Q$342</formula1>
    </dataValidation>
    <dataValidation type="list" allowBlank="1" showInputMessage="1" showErrorMessage="1" promptTitle="Weitere Waffen" prompt="Wähle aus der Liste aus, ob diese Einheit folgende Waffen erhält." errorTitle="Du Wüstenlaus!" error="Das geht nicht! Wähle aus der Liste aus!" sqref="X174">
      <formula1>"Keine weitere Waffe,Hellebarde (zweihändig, S=+1)"</formula1>
    </dataValidation>
    <dataValidation type="list" allowBlank="1" showInputMessage="1" showErrorMessage="1" promptTitle="Weitere Waffen" prompt="Wähle aus der Liste aus, ob die Ushabti Ihre Zweihandwaffen durch Großbögen ersetzten." errorTitle="Du Wüstenlaus!" error="Das geht nicht! Wähle aus der Liste aus!" sqref="X180">
      <formula1>$Y$336:$Y$337</formula1>
    </dataValidation>
    <dataValidation type="list" allowBlank="1" showInputMessage="1" showErrorMessage="1" promptTitle="Magische Standarte" prompt="Diese Einheit kann eine magische Standarte im Wert von bis zu 25 Punkten erhalten (Regelbuch 8. Edition, Armeebuch S.63). Wähle einen entsprechenden Wert aus der Liste aus!" errorTitle="Du Wüstenlaus!" error="Du willst die glorreichen Truppen Khemris durch die Wüste führen? Bitte wähle aus der Liste aus!" sqref="V164">
      <formula1>$Q$332:$Q$337</formula1>
    </dataValidation>
    <dataValidation type="list" allowBlank="1" showInputMessage="1" showErrorMessage="1" promptTitle="Rüstung" prompt="Bitte wähle aus der Liste aus, ob der Charakter oder der Krieger keine oder eine leichte (L)." errorTitle="Du Wüstenlaus!" error="Das geht nicht! Bitte wähle aus der Liste aus!" sqref="Q154 Q149 Q145">
      <formula1>$C$317:$C$318</formula1>
    </dataValidation>
    <dataValidation type="list" allowBlank="1" showInputMessage="1" showErrorMessage="1" promptTitle="Schild" prompt="Bitte lege mit Hilfe der Liste fest, ob der Charakter oder der Krieger ein Schild trägt oder nicht. Bei der Verwendung von Zweihandwaffen im Nahkampf müssen die Schilde beseite gelegt werden." errorTitle="Du Wüstenlaus!" error="Das geht nicht! Bitte wähle aus der Liste aus!" sqref="R122 R110 R57">
      <formula1>$J$309:$J$310</formula1>
    </dataValidation>
    <dataValidation type="list" allowBlank="1" showInputMessage="1" showErrorMessage="1" promptTitle="Weitere Waffen" prompt="Wähle aus der Liste aus, ob diese Einheit folgende Waffen erhält." errorTitle="Du Wüstenlaus!" error="Das geht nicht! Wähle aus der Liste aus!" sqref="X150">
      <formula1>"Keine weitere Waffe,Speer (Tiefgestaffelter Kampf = +1 Glied)"</formula1>
    </dataValidation>
    <dataValidation type="list" allowBlank="1" showInputMessage="1" showErrorMessage="1" promptTitle="Anzahl der Reittiere" prompt="Bitte wähle die Anzahl der Reittiere aus, die von den Charaktermodellen benutzt werden, aus der Liste aus!" errorTitle="So viele?!?" error="Mehr als drei? Was für eine Armee! Bitte wähle aus der Liste aus!" sqref="B129 B115 B88 B135 B62 B74 B31">
      <formula1>$A$303:$A$306</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115 A62">
      <formula1>"Kein Reittier,Khemrische Kriegssphinx,Skelettstreitwagen"</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129 A88">
      <formula1>"Kein Reittier,Skelettpferd,Skelettstreitwagen"</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135 A74">
      <formula1>"Kein Reittier,Skelettpferd"</formula1>
    </dataValidation>
    <dataValidation type="list" allowBlank="1" showInputMessage="1" showErrorMessage="1" promptTitle="Auswahl eines Reittieres" prompt="Wähle aus der Liste aus, ob das Charaktermodell ein Reittier verwendet!" errorTitle="Bist Du ein Druchii?" error="Kommst Du wirklich aus Ulthuan? Dieses Reittier steht unseren Truppen nicht zur Verfügung!" sqref="A31">
      <formula1>"Kein Reittier,Skelettstreitwagen"</formula1>
    </dataValidation>
    <dataValidation type="list" allowBlank="1" showInputMessage="1" showErrorMessage="1" promptTitle="Anzahl der Skelettpferde" prompt="Arkhan der Schwarze kann seinen Skelettstreitwagen auch von 4 anstelle von 2 Skelettpferden (15 P) in die Schlacht ziehen lassen. Wähle aus der Liste aus!" errorTitle="So viele?!?" error="Mehr als drei? Was für eine Armee! Bitte wähle aus der Liste aus!" sqref="B32">
      <formula1>"2,4"</formula1>
    </dataValidation>
    <dataValidation type="list" allowBlank="1" showInputMessage="1" showErrorMessage="1" promptTitle="Fliegender Skelettstreitwagen" prompt="Arkhan der Schwarze kann seinen Skelettstreitwagen mit der Sonderregel Fliegen (30 P) aufwerten." errorTitle="So viele?!?" error="Mehr als drei? Was für eine Armee! Bitte wähle aus der Liste aus!" sqref="X33">
      <formula1>$Y$367:$Y$368</formula1>
    </dataValidation>
    <dataValidation type="list" allowBlank="1" showInputMessage="1" showErrorMessage="1" promptTitle="Armeestandarte" prompt="Bitte wähle eine 1 aus der Liste aus, wenn dieses Charaktermodell die Armeestandarte trägt!" errorTitle="Du Wüstenlaus" error="Das geht nicht! Bitte wähle aus der Liste aus!" sqref="B127">
      <formula1>$A$303:$A$304</formula1>
    </dataValidation>
    <dataValidation type="list" allowBlank="1" showInputMessage="1" showErrorMessage="1" promptTitle="Magische Gegenstände" prompt="Dieser Charakter kann sich mit den magischen Gegenständen im Wert von bis zu 50 Punkten rüsten (Regelbuch 8. Edition, Armeebuch S.62-63). Wähle einen entsprechenden Wert aus der Liste aus!" errorTitle="Du willst das Imperium führen?" error="Den ausgewählten Magiewert gibt es nicht! Verwende die Liste!" sqref="V138 V133 V122 V110">
      <formula1>$Q$332:$Q$342</formula1>
    </dataValidation>
    <dataValidation type="list" allowBlank="1" showInputMessage="1" showErrorMessage="1" promptTitle="Magische Gegenstände" prompt="Dieser Charakter kann sich mit den magischen Gegenständen im Wert von bis zu 100 Punkten rüsten (Regelbuch 8. Edition, Armeebuch S.62-63). Wähle einen entsprechenden Wert aus der Liste aus!" errorTitle="Du willst das Imperium führen?" error="Den ausgewählten Magiewert gibt es nicht! Verwende die Liste!" sqref="V72 V57">
      <formula1>$Q$332:$Q$352</formula1>
    </dataValidation>
    <dataValidation type="list" allowBlank="1" showInputMessage="1" showErrorMessage="1" promptTitle="Auswahl einer Waffe" prompt="Wähle aus der Liste aus, ob das Charaktermodell einen Speer (2 P), einen Flegel (4 P) oder eine Hellebarde (2 P) verwendet!" errorTitle="Du willst das Imperium führen?" error="Den ausgewählten Magiewert gibt es nicht! Verwende die Liste!" sqref="X126">
      <formula1>"Keine weitere Waffe,Speer (1. Runde Angriff S=+1),Hellebarde (zweihändig, S=+1),Flegel (zweihändig, 1. Runde S=+2)"</formula1>
    </dataValidation>
    <dataValidation type="list" allowBlank="1" showInputMessage="1" showErrorMessage="1" promptTitle="Auswahl einer Waffe" prompt="Wähle aus der Liste aus, ob das Charaktermodell einen Speer (2 P), einen Flegel (4 P) oder eine Hellebarde (2 P) verwendet!" errorTitle="Du willst das Imperium führen?" error="Den ausgewählten Magiewert gibt es nicht! Verwende die Liste!" sqref="X114 X61">
      <formula1>"Keine weitere Waffe,Speer (1. Runde Angriff S=+1),Flegel (zweihändig, 1. Runde S=+2)"</formula1>
    </dataValidation>
    <dataValidation type="list" allowBlank="1" showInputMessage="1" showErrorMessage="1" promptTitle="Magische Standarte" prompt="Die Armeestandarte kann mit einer magischen Standarte ohne Punktbegrenzung ausgestattet werden (Regelbuch 8. Edition, Armeebuch S.62-63). Dann kann der Träger keine weiteren magischen Gegenstände besitzen.Wähle einen entsprechenden Wert aus der Liste aus!" errorTitle="Du willst das Imperium führen?" error="Den ausgewählten Magiewert gibt es nicht! Verwende die Liste!" sqref="V127">
      <formula1>$Q$332:$Q$362</formula1>
    </dataValidation>
  </dataValidations>
  <printOptions/>
  <pageMargins left="0" right="0" top="0" bottom="0" header="0" footer="0"/>
  <pageSetup horizontalDpi="600" verticalDpi="600" orientation="portrait" paperSize="9"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Hans Hess Autoteile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 Wilsdorf</dc:creator>
  <cp:keywords/>
  <dc:description/>
  <cp:lastModifiedBy>Josef Müller</cp:lastModifiedBy>
  <cp:lastPrinted>2008-01-27T09:16:30Z</cp:lastPrinted>
  <dcterms:created xsi:type="dcterms:W3CDTF">2005-07-06T06:26:40Z</dcterms:created>
  <dcterms:modified xsi:type="dcterms:W3CDTF">2013-11-03T17:36:40Z</dcterms:modified>
  <cp:category/>
  <cp:version/>
  <cp:contentType/>
  <cp:contentStatus/>
</cp:coreProperties>
</file>