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56" windowWidth="26940" windowHeight="15140" activeTab="0"/>
  </bookViews>
  <sheets>
    <sheet name="Armeebogen" sheetId="1" r:id="rId1"/>
  </sheets>
  <definedNames>
    <definedName name="Baummensch">'Armeebogen'!$X$320:$Y$321</definedName>
    <definedName name="fdf">'Armeebogen'!$Y$171:$Z$171</definedName>
    <definedName name="Feen">'Armeebogen'!$Y$297:$Z$305</definedName>
    <definedName name="fsfsdf">'Armeebogen'!#REF!</definedName>
    <definedName name="Matrixladertypen">'Armeebogen'!#REF!</definedName>
    <definedName name="Mount">'Armeebogen'!$Y$310:$AP$315</definedName>
    <definedName name="Pfeile">'Armeebogen'!$X$326:$Z$332</definedName>
    <definedName name="Ruestung">'Armeebogen'!$Y$253:$Z$256</definedName>
    <definedName name="Ruestung2">'Armeebogen'!$Y$253:$Z$257</definedName>
    <definedName name="RuestungKavallerie2">'Armeebogen'!$AA$253:$AB$256</definedName>
    <definedName name="RW">'Armeebogen'!$Y$261:$Z$267</definedName>
    <definedName name="RWKavallerie">'Armeebogen'!$AA$261:$AB$266</definedName>
    <definedName name="Sippen">'Armeebogen'!$Y$285:$AA$291</definedName>
    <definedName name="Waffen">'Armeebogen'!$X$337:$Z$339</definedName>
  </definedNames>
  <calcPr fullCalcOnLoad="1"/>
</workbook>
</file>

<file path=xl/sharedStrings.xml><?xml version="1.0" encoding="utf-8"?>
<sst xmlns="http://schemas.openxmlformats.org/spreadsheetml/2006/main" count="799" uniqueCount="313">
  <si>
    <r>
      <t xml:space="preserve">Kralle des Falken </t>
    </r>
    <r>
      <rPr>
        <sz val="10"/>
        <rFont val="Arial"/>
        <family val="0"/>
      </rPr>
      <t>30" S=5, Mehrf. Schüße 6, magisch</t>
    </r>
  </si>
  <si>
    <r>
      <t>Speer des Kurnous</t>
    </r>
    <r>
      <rPr>
        <sz val="10"/>
        <rFont val="Arial"/>
        <family val="0"/>
      </rPr>
      <t xml:space="preserve"> Speerschleuder 18" S=7, kein</t>
    </r>
  </si>
  <si>
    <t>Rüstungswurf, Multiple LP W3, auch bei Bew., k. marsch.</t>
  </si>
  <si>
    <t>Magier Stufe 2: Dornenschild + Anraheirs Fluch; Bonus</t>
  </si>
  <si>
    <t>Zauberwurd =+1 für jedes weitere Glied, max. 3; Kontroll-</t>
  </si>
  <si>
    <r>
      <t xml:space="preserve">verlust LP=-W3 </t>
    </r>
    <r>
      <rPr>
        <b/>
        <sz val="11"/>
        <rFont val="Arial"/>
        <family val="0"/>
      </rPr>
      <t>Schwarzdorn Wurfspeer</t>
    </r>
    <r>
      <rPr>
        <sz val="10"/>
        <rFont val="Arial"/>
        <family val="0"/>
      </rPr>
      <t xml:space="preserve"> S=Träger</t>
    </r>
  </si>
  <si>
    <t>Giftattacken TW=6 autom. Treffer, rüstungsbrechend</t>
  </si>
  <si>
    <t>1(x)</t>
  </si>
  <si>
    <t>2(x)</t>
  </si>
  <si>
    <t>Waldjäger, ASF, Leichte Kavallerie, Angst</t>
  </si>
  <si>
    <r>
      <t xml:space="preserve">Raserei </t>
    </r>
    <r>
      <rPr>
        <sz val="10"/>
        <rFont val="Arial"/>
        <family val="0"/>
      </rPr>
      <t>A=+1, Immun Psychol. Immer verfolgen, wenn</t>
    </r>
  </si>
  <si>
    <r>
      <t xml:space="preserve">Angriff möglich, angreifen oder MW-Test </t>
    </r>
    <r>
      <rPr>
        <b/>
        <sz val="11"/>
        <rFont val="Arial"/>
        <family val="0"/>
      </rPr>
      <t>Schützende</t>
    </r>
  </si>
  <si>
    <r>
      <t>Tätowierungen</t>
    </r>
    <r>
      <rPr>
        <sz val="10"/>
        <rFont val="Arial"/>
        <family val="0"/>
      </rPr>
      <t xml:space="preserve"> Ret=6+ </t>
    </r>
    <r>
      <rPr>
        <b/>
        <sz val="11"/>
        <rFont val="Arial"/>
        <family val="0"/>
      </rPr>
      <t>Vernichtender Angriff</t>
    </r>
  </si>
  <si>
    <t>nur Reiter, bei Angriff A=+1</t>
  </si>
  <si>
    <t>Naestra</t>
  </si>
  <si>
    <t>Arahan</t>
  </si>
  <si>
    <r>
      <t>Waldgeist</t>
    </r>
    <r>
      <rPr>
        <b/>
        <u val="single"/>
        <sz val="11"/>
        <rFont val="Arial"/>
        <family val="0"/>
      </rPr>
      <t xml:space="preserve">: Geländeerfahren (Wald), Attacken magisch, Immun Psychologie, </t>
    </r>
    <r>
      <rPr>
        <b/>
        <u val="single"/>
        <sz val="11"/>
        <color indexed="12"/>
        <rFont val="Arial"/>
        <family val="0"/>
      </rPr>
      <t>Ret = 6+</t>
    </r>
    <r>
      <rPr>
        <b/>
        <u val="single"/>
        <sz val="11"/>
        <rFont val="Arial"/>
        <family val="0"/>
      </rPr>
      <t xml:space="preserve"> / </t>
    </r>
    <r>
      <rPr>
        <b/>
        <u val="single"/>
        <sz val="11"/>
        <color indexed="10"/>
        <rFont val="Arial"/>
        <family val="0"/>
      </rPr>
      <t>Waldjäger</t>
    </r>
    <r>
      <rPr>
        <b/>
        <u val="single"/>
        <sz val="11"/>
        <rFont val="Arial"/>
        <family val="0"/>
      </rPr>
      <t xml:space="preserve"> Geländeerfahren (Wald), in Wald Schießen + Glied Unterstützungsattacken </t>
    </r>
    <r>
      <rPr>
        <b/>
        <u val="single"/>
        <sz val="11"/>
        <color indexed="12"/>
        <rFont val="Arial"/>
        <family val="0"/>
      </rPr>
      <t>+1</t>
    </r>
    <r>
      <rPr>
        <b/>
        <u val="single"/>
        <sz val="11"/>
        <rFont val="Arial"/>
        <family val="0"/>
      </rPr>
      <t xml:space="preserve">; alle </t>
    </r>
    <r>
      <rPr>
        <b/>
        <u val="single"/>
        <sz val="11"/>
        <color indexed="12"/>
        <rFont val="Arial"/>
        <family val="0"/>
      </rPr>
      <t>VW = 1</t>
    </r>
    <r>
      <rPr>
        <b/>
        <u val="single"/>
        <sz val="11"/>
        <rFont val="Arial"/>
        <family val="0"/>
      </rPr>
      <t xml:space="preserve"> wiederholen</t>
    </r>
  </si>
  <si>
    <t>Waldgeist (Im. Psycho., mag. A, Ret=6+), Angst</t>
  </si>
  <si>
    <t>Magieresistenz 2, Monströse Bestie = Niedertramp.</t>
  </si>
  <si>
    <t>Aufpralltreffer W3, Monströse Bestie = Niedertramp.</t>
  </si>
  <si>
    <t>Durchbohren: Bei Angriff S=+2</t>
  </si>
  <si>
    <t>Ensetzen, Flieger, großes Ziel, Schuppenhaut (3+)</t>
  </si>
  <si>
    <t>Blödheit); Waldgeist (Im. Psycho., mag. A, Ret=6+)</t>
  </si>
  <si>
    <t>Waldjäger, ASF, Unnachgiebig, Gunst der Göttin</t>
  </si>
  <si>
    <t>Tapferster der Tapfern, Skaryn der Augendieb</t>
  </si>
  <si>
    <t>Alleine =&gt;Unerschütterlich; Beginn Spielerzug Modell</t>
  </si>
  <si>
    <t>≤18" = Treffer S=4, Wenn VW=6 + Wunde, Modell KG+I</t>
  </si>
  <si>
    <t>=-5, nur einmal pro Spiel.</t>
  </si>
  <si>
    <t>Rosse der Isha</t>
  </si>
  <si>
    <t>Hüter der Wege</t>
  </si>
  <si>
    <t>Alte Seele</t>
  </si>
  <si>
    <t>Klingensänger</t>
  </si>
  <si>
    <t>Meister-Kundschafter</t>
  </si>
  <si>
    <t>Ewiger Hüter</t>
  </si>
  <si>
    <t>Waldritter</t>
  </si>
  <si>
    <t>Nymphen</t>
  </si>
  <si>
    <t>Bogenmeister</t>
  </si>
  <si>
    <t>Eigenschaft 1</t>
  </si>
  <si>
    <t>Eigenschaft 2</t>
  </si>
  <si>
    <t>Eigenschaft 3</t>
  </si>
  <si>
    <t>Preise Kommandant</t>
  </si>
  <si>
    <t>Preis Held</t>
  </si>
  <si>
    <t>Schattentänzer</t>
  </si>
  <si>
    <t>Wegpirscher</t>
  </si>
  <si>
    <t>Durthu</t>
  </si>
  <si>
    <t>Araloth</t>
  </si>
  <si>
    <t>Anzahl Besatzung Kriegsmaschinen</t>
  </si>
  <si>
    <t>Warhammer Armeeliste</t>
  </si>
  <si>
    <t xml:space="preserve">Punktzahl: </t>
  </si>
  <si>
    <t>Bannwürfel:</t>
  </si>
  <si>
    <t>RW = Rüstungswurf bei Beschuß:</t>
  </si>
  <si>
    <t>Kerneinheiten</t>
  </si>
  <si>
    <t>Punkte</t>
  </si>
  <si>
    <t>Rü = Rüstung:   - / L / S/ P</t>
  </si>
  <si>
    <t>Anz.</t>
  </si>
  <si>
    <t>2+</t>
  </si>
  <si>
    <t>6+</t>
  </si>
  <si>
    <t>Rüstung Kavallerie</t>
  </si>
  <si>
    <t>Wandler</t>
  </si>
  <si>
    <t>wilde Jäger</t>
  </si>
  <si>
    <t>Zauberer</t>
  </si>
  <si>
    <t>Preis Hochgeborener</t>
  </si>
  <si>
    <t>Preis Adliger</t>
  </si>
  <si>
    <t>Riesenadler</t>
  </si>
  <si>
    <t>Schwestern d. Zwielichts</t>
  </si>
  <si>
    <t>Drycha</t>
  </si>
  <si>
    <t>Hochgeborener</t>
  </si>
  <si>
    <t>Elfenroß</t>
  </si>
  <si>
    <t>Riesenhirsch</t>
  </si>
  <si>
    <t>Adliger</t>
  </si>
  <si>
    <t>Waldelfenkrieger</t>
  </si>
  <si>
    <t>Kundschafter</t>
  </si>
  <si>
    <t>Ewige Wache</t>
  </si>
  <si>
    <t>Dryaden</t>
  </si>
  <si>
    <t>Waldelfenreiter</t>
  </si>
  <si>
    <t>Kampftänzer</t>
  </si>
  <si>
    <t>Kriegsfalken</t>
  </si>
  <si>
    <t>Baumschrate</t>
  </si>
  <si>
    <t>Baummensch</t>
  </si>
  <si>
    <t>Kriegsfalkenreiter</t>
  </si>
  <si>
    <t>Erynne</t>
  </si>
  <si>
    <t>Baumältester</t>
  </si>
  <si>
    <t>Zauberweber</t>
  </si>
  <si>
    <t>Zaubersänger</t>
  </si>
  <si>
    <t>Windreiter</t>
  </si>
  <si>
    <t>Kurnous Wilde Reiter</t>
  </si>
  <si>
    <t>Waldjäger, ASF, Leichte Kavallerie</t>
  </si>
  <si>
    <r>
      <t xml:space="preserve">Giftattacken </t>
    </r>
    <r>
      <rPr>
        <sz val="10"/>
        <rFont val="Arial"/>
        <family val="0"/>
      </rPr>
      <t xml:space="preserve">TW=6 autom. Treffer </t>
    </r>
    <r>
      <rPr>
        <b/>
        <sz val="11"/>
        <rFont val="Arial"/>
        <family val="0"/>
      </rPr>
      <t>Töchter der</t>
    </r>
  </si>
  <si>
    <r>
      <t xml:space="preserve">Ewigkeit </t>
    </r>
    <r>
      <rPr>
        <sz val="10"/>
        <rFont val="Arial"/>
        <family val="0"/>
      </rPr>
      <t xml:space="preserve">Ret=4+ </t>
    </r>
    <r>
      <rPr>
        <b/>
        <sz val="11"/>
        <rFont val="Arial"/>
        <family val="0"/>
      </rPr>
      <t xml:space="preserve">Zirkel des tiefen Waldes </t>
    </r>
    <r>
      <rPr>
        <sz val="10"/>
        <rFont val="Arial"/>
        <family val="0"/>
      </rPr>
      <t>Einheit</t>
    </r>
  </si>
  <si>
    <r>
      <t xml:space="preserve">Zielsicher </t>
    </r>
    <r>
      <rPr>
        <sz val="10"/>
        <rFont val="Arial"/>
        <family val="0"/>
      </rPr>
      <t>TW=-1, kann beliebes Modell anvisieren</t>
    </r>
  </si>
  <si>
    <r>
      <t xml:space="preserve">Waldgeist </t>
    </r>
    <r>
      <rPr>
        <sz val="10"/>
        <rFont val="Arial"/>
        <family val="0"/>
      </rPr>
      <t>Im. Psycho., mag. Att, Ret=6+, Geländeerf.</t>
    </r>
  </si>
  <si>
    <r>
      <t xml:space="preserve">Angst, Hass </t>
    </r>
    <r>
      <rPr>
        <sz val="10"/>
        <rFont val="Arial"/>
        <family val="0"/>
      </rPr>
      <t>TW wiederholen</t>
    </r>
    <r>
      <rPr>
        <b/>
        <sz val="11"/>
        <rFont val="Arial"/>
        <family val="0"/>
      </rPr>
      <t xml:space="preserve"> Lehre des Lebens</t>
    </r>
  </si>
  <si>
    <r>
      <t>Segnungen der Ältesten</t>
    </r>
    <r>
      <rPr>
        <sz val="10"/>
        <rFont val="Arial"/>
        <family val="0"/>
      </rPr>
      <t xml:space="preserve"> im Wald Zauberwürfe +1 </t>
    </r>
  </si>
  <si>
    <t>1(3)</t>
  </si>
  <si>
    <t>Immer verfolgen/überrennen, immer angreifen o.MW-Test</t>
  </si>
  <si>
    <t>6(7)</t>
  </si>
  <si>
    <r>
      <t>Schwarm der Klagefeen</t>
    </r>
    <r>
      <rPr>
        <sz val="10"/>
        <rFont val="Arial"/>
        <family val="0"/>
      </rPr>
      <t xml:space="preserve"> 12" S=2, Mehrf. Schüße</t>
    </r>
  </si>
  <si>
    <r>
      <t xml:space="preserve">2W6, Todesstoß VW=6  </t>
    </r>
    <r>
      <rPr>
        <b/>
        <sz val="11"/>
        <rFont val="Arial"/>
        <family val="0"/>
      </rPr>
      <t>Lehre der Bestien</t>
    </r>
  </si>
  <si>
    <r>
      <t>Monster</t>
    </r>
    <r>
      <rPr>
        <sz val="10"/>
        <rFont val="Arial"/>
        <family val="0"/>
      </rPr>
      <t xml:space="preserve"> Niederwalzen W6 S=6 </t>
    </r>
  </si>
  <si>
    <r>
      <t>Unerschütterlich,</t>
    </r>
    <r>
      <rPr>
        <sz val="10"/>
        <rFont val="Arial"/>
        <family val="0"/>
      </rPr>
      <t xml:space="preserve"> </t>
    </r>
    <r>
      <rPr>
        <b/>
        <sz val="11"/>
        <rFont val="Arial"/>
        <family val="0"/>
      </rPr>
      <t>Raserei</t>
    </r>
    <r>
      <rPr>
        <sz val="10"/>
        <rFont val="Arial"/>
        <family val="0"/>
      </rPr>
      <t xml:space="preserve"> A=+1, Immun Psychol.</t>
    </r>
  </si>
  <si>
    <t>Waldjäger, ASF, Entsetzen, Unerschütterlich</t>
  </si>
  <si>
    <r>
      <t>Orions Jagdgefährten</t>
    </r>
    <r>
      <rPr>
        <sz val="10"/>
        <rFont val="Arial"/>
        <family val="0"/>
      </rPr>
      <t xml:space="preserve"> mit Hunden Einheit</t>
    </r>
  </si>
  <si>
    <r>
      <t>Raserei</t>
    </r>
    <r>
      <rPr>
        <sz val="10"/>
        <rFont val="Arial"/>
        <family val="0"/>
      </rPr>
      <t xml:space="preserve"> A=+1, Immun Psychol. Immer verfolgen/überre.</t>
    </r>
  </si>
  <si>
    <r>
      <t xml:space="preserve">immer angreifen o.MW-Test </t>
    </r>
    <r>
      <rPr>
        <b/>
        <sz val="11"/>
        <rFont val="Arial"/>
        <family val="0"/>
      </rPr>
      <t>Umhang der Isha</t>
    </r>
    <r>
      <rPr>
        <sz val="10"/>
        <rFont val="Arial"/>
        <family val="0"/>
      </rPr>
      <t xml:space="preserve"> Ret 5+</t>
    </r>
  </si>
  <si>
    <t>Magieresistenz 2, Beginn Spierlerzug W6: 6=1 LP zurück</t>
  </si>
  <si>
    <t>5(6)</t>
  </si>
  <si>
    <r>
      <t>Horn der Wilden Jagd</t>
    </r>
    <r>
      <rPr>
        <sz val="10"/>
        <rFont val="Arial"/>
        <family val="0"/>
      </rPr>
      <t xml:space="preserve"> ≤6" Vernichtender Angriff A=+1</t>
    </r>
  </si>
  <si>
    <t>Fluchfeen</t>
  </si>
  <si>
    <t>Flimmerlichter</t>
  </si>
  <si>
    <t>Wirrlichter</t>
  </si>
  <si>
    <t>Schicksalsschwestern</t>
  </si>
  <si>
    <t>Einhorn</t>
  </si>
  <si>
    <t>Sonstige</t>
  </si>
  <si>
    <t>Standartenrunen Imperium</t>
  </si>
  <si>
    <t>RW</t>
  </si>
  <si>
    <t>RW Kavallerie</t>
  </si>
  <si>
    <t>Ab hier keine Zeilen mehr löschen!!!</t>
  </si>
  <si>
    <t>Oger</t>
  </si>
  <si>
    <t>Mu = Musiker:  - / 1 / 2 / 3</t>
  </si>
  <si>
    <t>ja nach Anzahl Regimenter</t>
  </si>
  <si>
    <t>Anzahl Speerschleudern</t>
  </si>
  <si>
    <t>Besatzung Speerschleudern</t>
  </si>
  <si>
    <t>4+</t>
  </si>
  <si>
    <t>[5] = Stärke der Treffer durch Artillerie</t>
  </si>
  <si>
    <t>3(4)</t>
  </si>
  <si>
    <t>Magierstufe</t>
  </si>
  <si>
    <t>5+</t>
  </si>
  <si>
    <t>H</t>
  </si>
  <si>
    <t>Waldläufer</t>
  </si>
  <si>
    <t>Standartenrunen</t>
  </si>
  <si>
    <t>1(2)</t>
  </si>
  <si>
    <t>2(3)</t>
  </si>
  <si>
    <t>4(5)</t>
  </si>
  <si>
    <t>Sippen</t>
  </si>
  <si>
    <t>Ewigkeit</t>
  </si>
  <si>
    <t>Armeestandarte</t>
  </si>
  <si>
    <t>das ist nicht freiwillig! KE=+1</t>
  </si>
  <si>
    <r>
      <rPr>
        <b/>
        <sz val="11"/>
        <rFont val="Arial"/>
        <family val="0"/>
      </rPr>
      <t>Armeestandarte</t>
    </r>
    <r>
      <rPr>
        <b/>
        <sz val="12"/>
        <rFont val="Arial"/>
        <family val="0"/>
      </rPr>
      <t xml:space="preserve"> </t>
    </r>
    <r>
      <rPr>
        <sz val="10"/>
        <rFont val="Arial"/>
        <family val="0"/>
      </rPr>
      <t>(≤ 12 Zoll Moralwerttest wiederholen)</t>
    </r>
  </si>
  <si>
    <t xml:space="preserve">Einschläfernder Atem (S=2, RW=-3, Bei Treffer </t>
  </si>
  <si>
    <t>Kein Reittier</t>
  </si>
  <si>
    <r>
      <t xml:space="preserve">Flieger, Monströse Bestie </t>
    </r>
    <r>
      <rPr>
        <sz val="10"/>
        <rFont val="Arial"/>
        <family val="0"/>
      </rPr>
      <t>Niedertrampeln S=4</t>
    </r>
  </si>
  <si>
    <r>
      <t>Ziel, Schuppenhaut</t>
    </r>
    <r>
      <rPr>
        <sz val="10"/>
        <rFont val="Arial"/>
        <family val="0"/>
      </rPr>
      <t xml:space="preserve"> 3+ </t>
    </r>
    <r>
      <rPr>
        <b/>
        <sz val="11"/>
        <rFont val="Arial"/>
        <family val="0"/>
      </rPr>
      <t xml:space="preserve">Waldgeist </t>
    </r>
    <r>
      <rPr>
        <sz val="10"/>
        <rFont val="Arial"/>
        <family val="0"/>
      </rPr>
      <t>Immun Psycho</t>
    </r>
  </si>
  <si>
    <r>
      <t>mag. Attacken, Ret=6+</t>
    </r>
    <r>
      <rPr>
        <b/>
        <sz val="11"/>
        <rFont val="Arial"/>
        <family val="0"/>
      </rPr>
      <t xml:space="preserve"> Astkeule</t>
    </r>
    <r>
      <rPr>
        <sz val="10"/>
        <rFont val="Arial"/>
        <family val="0"/>
      </rPr>
      <t xml:space="preserve"> nur 1 A, Geg. Basek.</t>
    </r>
  </si>
  <si>
    <r>
      <t>Waldjäger, ASF</t>
    </r>
    <r>
      <rPr>
        <sz val="10"/>
        <rFont val="Arial"/>
        <family val="0"/>
      </rPr>
      <t xml:space="preserve"> Reiter </t>
    </r>
    <r>
      <rPr>
        <b/>
        <sz val="11"/>
        <rFont val="Arial"/>
        <family val="0"/>
      </rPr>
      <t>Leichte Kavallerie, Überfall</t>
    </r>
  </si>
  <si>
    <t>bei 3+ Verstärkung: normal, nicht angreifen &amp; marschier.</t>
  </si>
  <si>
    <t>Waldjäger, ASF</t>
  </si>
  <si>
    <t>Summe Helden</t>
  </si>
  <si>
    <t>Summe Kommandanten</t>
  </si>
  <si>
    <t>3(x)</t>
  </si>
  <si>
    <t>Waldjäger, ASF, Immun Psychol., Lehre Schatten</t>
  </si>
  <si>
    <t>Waffen</t>
  </si>
  <si>
    <t>Preis Kommandant</t>
  </si>
  <si>
    <t>Keine weitere Waffe</t>
  </si>
  <si>
    <t>im Nahkampf  RW = -1 bei Zweihandwaffe und Schild</t>
  </si>
  <si>
    <t>Drache Ceithin-Har</t>
  </si>
  <si>
    <t>Adler Gwindalor</t>
  </si>
  <si>
    <t>Waldjäger, ASF, Plänkler, Immun Psychologie</t>
  </si>
  <si>
    <t>Schützende Tätowierungen, Schattentänze des</t>
  </si>
  <si>
    <r>
      <t>Loec</t>
    </r>
    <r>
      <rPr>
        <sz val="10"/>
        <rFont val="Arial"/>
        <family val="0"/>
      </rPr>
      <t xml:space="preserve"> (3+ Rettungswurf, rüstungsbrechend + Todesstoß,</t>
    </r>
  </si>
  <si>
    <r>
      <t>Hass</t>
    </r>
    <r>
      <rPr>
        <sz val="10"/>
        <rFont val="Arial"/>
        <family val="0"/>
      </rPr>
      <t xml:space="preserve"> TW wiederholen </t>
    </r>
    <r>
      <rPr>
        <b/>
        <sz val="11"/>
        <rFont val="Arial"/>
        <family val="0"/>
      </rPr>
      <t>Raserei</t>
    </r>
    <r>
      <rPr>
        <sz val="10"/>
        <rFont val="Arial"/>
        <family val="0"/>
      </rPr>
      <t xml:space="preserve"> A=+1, Immun Psychol.</t>
    </r>
  </si>
  <si>
    <t>Entsetzen, Brennbar, Unnachgiebig, Großes</t>
  </si>
  <si>
    <t>Leichte Kavallerie</t>
  </si>
  <si>
    <t>Volk: Waldelfen</t>
  </si>
  <si>
    <t>Mu</t>
  </si>
  <si>
    <t>St</t>
  </si>
  <si>
    <t>Waffenrunen</t>
  </si>
  <si>
    <t>P</t>
  </si>
  <si>
    <t>ZW= Zweihandwaffe:  - / 1</t>
  </si>
  <si>
    <t>Kommandant</t>
  </si>
  <si>
    <t>Anzahl Reiter</t>
  </si>
  <si>
    <t>Al Muktar</t>
  </si>
  <si>
    <t>MG</t>
  </si>
  <si>
    <t>H = Handwaffe:   - / 1 / 2</t>
  </si>
  <si>
    <t>Seltene Einheiten</t>
  </si>
  <si>
    <t>MG = Punktezahl verwendeter Magie</t>
  </si>
  <si>
    <t>St = Standarte:  - / 1 / 2 / 3</t>
  </si>
  <si>
    <t>Anzahl Helden, Kriegsmaschinen und Regimenter</t>
  </si>
  <si>
    <t>Ret = Rettungswurf</t>
  </si>
  <si>
    <t>Riesenslayer</t>
  </si>
  <si>
    <t>-</t>
  </si>
  <si>
    <t>Reittiere</t>
  </si>
  <si>
    <t>Wildwood Ranger</t>
  </si>
  <si>
    <t>Hüter des Bannwaldes</t>
  </si>
  <si>
    <t>Rosse des Kournous</t>
  </si>
  <si>
    <t>Herr der Jagd</t>
  </si>
  <si>
    <t>Dornenschwestern</t>
  </si>
  <si>
    <t>Zofe der Dornen</t>
  </si>
  <si>
    <t>Rü</t>
  </si>
  <si>
    <t>Ret</t>
  </si>
  <si>
    <t>Sch</t>
  </si>
  <si>
    <t>KG</t>
  </si>
  <si>
    <t>BF</t>
  </si>
  <si>
    <t>LP</t>
  </si>
  <si>
    <t>I</t>
  </si>
  <si>
    <t>A</t>
  </si>
  <si>
    <t>MW</t>
  </si>
  <si>
    <t>Wolfsreiter</t>
  </si>
  <si>
    <t>Rüstung</t>
  </si>
  <si>
    <t>L</t>
  </si>
  <si>
    <t>G</t>
  </si>
  <si>
    <t>sonstige Runen</t>
  </si>
  <si>
    <t>Summe:</t>
  </si>
  <si>
    <t>Zwischespalte für RW</t>
  </si>
  <si>
    <t>EXTRAS</t>
  </si>
  <si>
    <t>Held</t>
  </si>
  <si>
    <t>Eliteeinheiten</t>
  </si>
  <si>
    <t>Eingabefelder</t>
  </si>
  <si>
    <t>Sch = Schild:  - / 1</t>
  </si>
  <si>
    <t>Anzahl Krieger</t>
  </si>
  <si>
    <t>3+</t>
  </si>
  <si>
    <t>1+</t>
  </si>
  <si>
    <t>Energiewürfel:</t>
  </si>
  <si>
    <t xml:space="preserve">Angst, Brennbar, Schuppenhaut 4+ </t>
  </si>
  <si>
    <r>
      <t>Monstöse Infanterie</t>
    </r>
    <r>
      <rPr>
        <sz val="10"/>
        <rFont val="Arial"/>
        <family val="0"/>
      </rPr>
      <t xml:space="preserve"> Niedertrampeln S=3, 3 U-Atta.</t>
    </r>
  </si>
  <si>
    <r>
      <t xml:space="preserve">Angst, Hass </t>
    </r>
    <r>
      <rPr>
        <sz val="10"/>
        <rFont val="Arial"/>
        <family val="0"/>
      </rPr>
      <t>TW wiederholen</t>
    </r>
  </si>
  <si>
    <t>Keine Würgewurzel</t>
  </si>
  <si>
    <t>Würgewurzel - 12", S=5, Mehrfache Schüsse W6+1</t>
  </si>
  <si>
    <t>Preis</t>
  </si>
  <si>
    <t>I-Test, =&gt;W6 Wunden, kein RW, auch Herausforderung</t>
  </si>
  <si>
    <t>Waldjäger, ASF, Kundschafter, Plänkler</t>
  </si>
  <si>
    <r>
      <t xml:space="preserve">Asrai-Langbogen </t>
    </r>
    <r>
      <rPr>
        <sz val="10"/>
        <rFont val="Arial"/>
        <family val="0"/>
      </rPr>
      <t>30",S=3, Salvenfeuer, rüstungsbr.</t>
    </r>
  </si>
  <si>
    <r>
      <t>Falkenäugiger Schütze</t>
    </r>
    <r>
      <rPr>
        <sz val="10"/>
        <rFont val="Arial"/>
        <family val="0"/>
      </rPr>
      <t xml:space="preserve"> </t>
    </r>
    <r>
      <rPr>
        <sz val="10"/>
        <rFont val="Arial"/>
        <family val="0"/>
      </rPr>
      <t>vor Schuß wählen: schneller</t>
    </r>
  </si>
  <si>
    <t>Schuß=Mehrfache Schüße 2, gezielter Schuß=kein RW</t>
  </si>
  <si>
    <t>Waldjäger, ASF, Kundschafter, Zielsicher</t>
  </si>
  <si>
    <r>
      <t xml:space="preserve">Waldjäger, ASF, Kralle des Morgens </t>
    </r>
    <r>
      <rPr>
        <sz val="10"/>
        <rFont val="Arial"/>
        <family val="0"/>
      </rPr>
      <t>30", S=5</t>
    </r>
  </si>
  <si>
    <t>Flammenenattacken, Multiple LP W6, rüstungsbrechend</t>
  </si>
  <si>
    <t>Gegner Wunde, Reittier 1 LP zurück</t>
  </si>
  <si>
    <r>
      <t xml:space="preserve">Asrai-Speer </t>
    </r>
    <r>
      <rPr>
        <sz val="10"/>
        <rFont val="Arial"/>
        <family val="0"/>
      </rPr>
      <t>bei Angriff S=+1, rüstungsbrechend</t>
    </r>
  </si>
  <si>
    <r>
      <t xml:space="preserve">Waldjäger, ASF, Kralle des Abends </t>
    </r>
    <r>
      <rPr>
        <sz val="10"/>
        <rFont val="Arial"/>
        <family val="0"/>
      </rPr>
      <t>30", S=1</t>
    </r>
  </si>
  <si>
    <t>Mehrfache Schüße 2W6, Giftattacken TW=6, rüstungsbr.</t>
  </si>
  <si>
    <t>Schwestern des Zwielichts, Verknüpftes</t>
  </si>
  <si>
    <r>
      <t>Schicksal</t>
    </r>
    <r>
      <rPr>
        <sz val="10"/>
        <rFont val="Arial"/>
        <family val="0"/>
      </rPr>
      <t xml:space="preserve"> Wenn nicht beide Schwestern in einer Phase</t>
    </r>
  </si>
  <si>
    <t>getötet: beide alle LP zurück; ohne Reittier Einheit bilden</t>
  </si>
  <si>
    <t>Gegen Mächte Zerstörung Nahkampf VW=+1</t>
  </si>
  <si>
    <t>Gegen Mächte Ordnung Nahkampf VW=+1</t>
  </si>
  <si>
    <r>
      <t xml:space="preserve">Jagdreittier </t>
    </r>
    <r>
      <rPr>
        <sz val="10"/>
        <rFont val="Arial"/>
        <family val="0"/>
      </rPr>
      <t>bei Schüßen alle TW wiederholen</t>
    </r>
  </si>
  <si>
    <t>Waldjäger, ASF, Fliegende Kavallerie</t>
  </si>
  <si>
    <r>
      <t xml:space="preserve">rüstungsbrechend </t>
    </r>
    <r>
      <rPr>
        <b/>
        <sz val="11"/>
        <rFont val="Arial"/>
        <family val="0"/>
      </rPr>
      <t>Niedertrampeln</t>
    </r>
    <r>
      <rPr>
        <sz val="10"/>
        <rFont val="Arial"/>
        <family val="0"/>
      </rPr>
      <t xml:space="preserve"> S=4</t>
    </r>
  </si>
  <si>
    <r>
      <t xml:space="preserve">Sturzflugangriff </t>
    </r>
    <r>
      <rPr>
        <sz val="10"/>
        <rFont val="Arial"/>
        <family val="0"/>
      </rPr>
      <t>bei Angriff Todesstoß VW = 6;</t>
    </r>
  </si>
  <si>
    <r>
      <t xml:space="preserve">Asrai-Speer </t>
    </r>
    <r>
      <rPr>
        <sz val="10"/>
        <rFont val="Arial"/>
        <family val="0"/>
      </rPr>
      <t>bei Angriff S=+1, rüstungsbrechend</t>
    </r>
  </si>
  <si>
    <t>Feen</t>
  </si>
  <si>
    <t>Schreckensfeen</t>
  </si>
  <si>
    <t>Bärserker</t>
  </si>
  <si>
    <t>Slayerfertigkeiten Dämonenslayer</t>
  </si>
  <si>
    <t>Zweihandwaffe, Schild</t>
  </si>
  <si>
    <t>Rettungs- und Rüstungswürfe</t>
  </si>
  <si>
    <t>Reich = Reichweite in Zoll</t>
  </si>
  <si>
    <t>ZW</t>
  </si>
  <si>
    <r>
      <t>Waldelfen</t>
    </r>
    <r>
      <rPr>
        <sz val="14"/>
        <rFont val="Times New Roman"/>
        <family val="0"/>
      </rPr>
      <t xml:space="preserve"> (Armeebuch 2007, 8. Edition Warhammer)</t>
    </r>
  </si>
  <si>
    <t>Magier-Stufe</t>
  </si>
  <si>
    <t>S</t>
  </si>
  <si>
    <t>RH</t>
  </si>
  <si>
    <t>Roßharnisch</t>
  </si>
  <si>
    <t>Schlacht: Raus aus meinem Wald</t>
  </si>
  <si>
    <t>Orion</t>
  </si>
  <si>
    <t>König des Waldes</t>
  </si>
  <si>
    <t>Jagdhunde</t>
  </si>
  <si>
    <t>Walddrache</t>
  </si>
  <si>
    <t>Blutfeen</t>
  </si>
  <si>
    <t>Giftfeen</t>
  </si>
  <si>
    <t>Elmsfeuer</t>
  </si>
  <si>
    <t>Spinnlinge</t>
  </si>
  <si>
    <r>
      <t xml:space="preserve">Waldjäger, ASF, Pfeil des Kournus </t>
    </r>
    <r>
      <rPr>
        <sz val="10"/>
        <rFont val="Arial"/>
        <family val="0"/>
      </rPr>
      <t>vor Beginn geg.</t>
    </r>
  </si>
  <si>
    <t>General ≤36"+Sichtlinie: Treffer S=3, kein RW</t>
  </si>
  <si>
    <t>Waldjäger, ASF, Lehren Regelbuch</t>
  </si>
  <si>
    <t>Waldjäger, ASF, 8. Lehren+Weiße &amp; Schwarze M.</t>
  </si>
  <si>
    <r>
      <t>Monster</t>
    </r>
    <r>
      <rPr>
        <sz val="10"/>
        <rFont val="Arial"/>
        <family val="0"/>
      </rPr>
      <t xml:space="preserve"> Niederwalzen W6 S=5 </t>
    </r>
    <r>
      <rPr>
        <b/>
        <sz val="11"/>
        <rFont val="Arial"/>
        <family val="0"/>
      </rPr>
      <t>Lehre des Lebens</t>
    </r>
  </si>
  <si>
    <r>
      <t>Monster</t>
    </r>
    <r>
      <rPr>
        <sz val="10"/>
        <rFont val="Arial"/>
        <family val="0"/>
      </rPr>
      <t xml:space="preserve"> Niederwalzen W6 S=5</t>
    </r>
  </si>
  <si>
    <t>Ruf des Zorns, Fanatische Entschlossenheit</t>
  </si>
  <si>
    <r>
      <t xml:space="preserve">Angst, Hass </t>
    </r>
    <r>
      <rPr>
        <sz val="10"/>
        <rFont val="Arial"/>
        <family val="0"/>
      </rPr>
      <t>TW wiederholen</t>
    </r>
    <r>
      <rPr>
        <b/>
        <sz val="11"/>
        <rFont val="Arial"/>
        <family val="0"/>
      </rPr>
      <t xml:space="preserve"> Lehre der Schatten</t>
    </r>
  </si>
  <si>
    <t>4(x)</t>
  </si>
  <si>
    <t>Je LP=1: A=+2, LP wieder zurück A=-2; Bei Aufstellung</t>
  </si>
  <si>
    <t>W3 Einheiten Waldgeist, Restliche Bewegungen W6</t>
  </si>
  <si>
    <t>Einheit kommt in Wald</t>
  </si>
  <si>
    <t>Fliegen, Monströse Bestie Niedertrampeln S=4</t>
  </si>
  <si>
    <r>
      <t xml:space="preserve">Fliegen, Monströse Bestie </t>
    </r>
    <r>
      <rPr>
        <sz val="10"/>
        <rFont val="Arial"/>
        <family val="0"/>
      </rPr>
      <t>Niedertrampeln S=4</t>
    </r>
  </si>
  <si>
    <r>
      <t>Ensetzen,Flieger,großes Ziel, Schuppenhaut</t>
    </r>
    <r>
      <rPr>
        <sz val="10"/>
        <rFont val="Arial"/>
        <family val="0"/>
      </rPr>
      <t xml:space="preserve"> 3+</t>
    </r>
  </si>
  <si>
    <r>
      <t xml:space="preserve">Einschläfernder Atem </t>
    </r>
    <r>
      <rPr>
        <sz val="10"/>
        <rFont val="Arial"/>
        <family val="0"/>
      </rPr>
      <t xml:space="preserve">S=2, RW=-3, Bei Treffer </t>
    </r>
  </si>
  <si>
    <r>
      <t xml:space="preserve">Blödheit </t>
    </r>
    <r>
      <rPr>
        <b/>
        <sz val="11"/>
        <rFont val="Arial"/>
        <family val="0"/>
      </rPr>
      <t>Waldgeist</t>
    </r>
    <r>
      <rPr>
        <sz val="10"/>
        <rFont val="Arial"/>
        <family val="0"/>
      </rPr>
      <t xml:space="preserve"> (m. Psycho., mag. A, Ret=6+</t>
    </r>
  </si>
  <si>
    <t>Monster = Niederwalzen S=6</t>
  </si>
  <si>
    <r>
      <t xml:space="preserve">Monster </t>
    </r>
    <r>
      <rPr>
        <sz val="10"/>
        <rFont val="Arial"/>
        <family val="0"/>
      </rPr>
      <t xml:space="preserve">Niederwalzen S=6 </t>
    </r>
    <r>
      <rPr>
        <b/>
        <sz val="11"/>
        <rFont val="Arial"/>
        <family val="0"/>
      </rPr>
      <t xml:space="preserve">Stürmisch </t>
    </r>
    <r>
      <rPr>
        <sz val="10"/>
        <rFont val="Arial"/>
        <family val="0"/>
      </rPr>
      <t>Wenn Angriffe</t>
    </r>
  </si>
  <si>
    <t>ansagen kann, angreifen oder MW-Test</t>
  </si>
  <si>
    <t>Giftattacken TW=6</t>
  </si>
  <si>
    <t>Mehrfache Schüße 2</t>
  </si>
  <si>
    <t>Flammenattacken, VW=+1 Mächte Zerstörung</t>
  </si>
  <si>
    <t>Flammenattacken, VW=+1 Mächte Ordnung</t>
  </si>
  <si>
    <t>Hexenfluchpfeile 30", S=3, Salvenfeuer, rüstungsbr.</t>
  </si>
  <si>
    <t>Jagende Pfeile 30", S=3, Salvenfeuer, rüstungsbr.</t>
  </si>
  <si>
    <t>Mondfeuerpfeile 30", S=3, Salvenfeuer, rüstungsbr.</t>
  </si>
  <si>
    <t>Sternfeuerpfeile 30", S=3, Salvenfeuer, rüstungsbr.</t>
  </si>
  <si>
    <t>Geschwinde Pfeile 30", S=3, Salvenf., rüstungsbr.</t>
  </si>
  <si>
    <t>Keinerlei Abzüge TW</t>
  </si>
  <si>
    <t>Waldjäger, ASF, Unnachgiebig</t>
  </si>
  <si>
    <r>
      <t xml:space="preserve">Salvenfeuer </t>
    </r>
    <r>
      <rPr>
        <sz val="10"/>
        <rFont val="Arial"/>
        <family val="0"/>
      </rPr>
      <t>Alle Glieder nach 2. schießen 50%</t>
    </r>
  </si>
  <si>
    <t>A=+1; Gegner kein Gliederbonus; Beginn Nahkampf vor</t>
  </si>
  <si>
    <t>Aufpralltreffer, nicht zwei Tänze hintereinander</t>
  </si>
  <si>
    <r>
      <t xml:space="preserve">Asrai-Speer </t>
    </r>
    <r>
      <rPr>
        <sz val="10"/>
        <rFont val="Arial"/>
        <family val="0"/>
      </rPr>
      <t>S=3, +1 Glied Unterst-Att. rüstungsbrech.</t>
    </r>
  </si>
  <si>
    <t>Waldjäger, ASF, Immun Psychologie. Wächter</t>
  </si>
  <si>
    <t>3(5)</t>
  </si>
  <si>
    <r>
      <t xml:space="preserve">des Bannwaldes </t>
    </r>
    <r>
      <rPr>
        <sz val="10"/>
        <rFont val="Arial"/>
        <family val="0"/>
      </rPr>
      <t>A=+1 bei Geg. Angst o. Entsetzen</t>
    </r>
  </si>
  <si>
    <t>Summe Seltene Einheiten</t>
  </si>
  <si>
    <t>Summe Eliteeinheiten</t>
  </si>
  <si>
    <t>Summe Kerneinheiten</t>
  </si>
  <si>
    <t>Waldjäger, ASF, Plänkler, Kundschafter</t>
  </si>
  <si>
    <t>Verzauberte Pfeile</t>
  </si>
  <si>
    <t>Keine verzaubertern Pfeile</t>
  </si>
  <si>
    <t>Arkane Dolchpfeile 30", S=3, Salvenfeuer, RW=-3</t>
  </si>
  <si>
    <t>Eigenschaften</t>
  </si>
  <si>
    <t>Piratenslayer</t>
  </si>
  <si>
    <t>B</t>
  </si>
  <si>
    <t>W</t>
  </si>
  <si>
    <t>Handwaffe</t>
  </si>
  <si>
    <t>Slayerfertigkeiten Drachenslayer</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</si>
</sst>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quot;;#,##0&quot;€&quot;"/>
    <numFmt numFmtId="181" formatCode="#,##0&quot;€&quot;;[Red]#,##0&quot;€&quot;"/>
    <numFmt numFmtId="182" formatCode="#,##0.00&quot;€&quot;;#,##0.00&quot;€&quot;"/>
    <numFmt numFmtId="183" formatCode="#,##0.00&quot;€&quot;;[Red]#,##0.00&quot;€&quot;"/>
    <numFmt numFmtId="184" formatCode="_ * #,##0&quot;€&quot;_ ;_ * #,##0&quot;€&quot;_ ;_ * &quot;-&quot;&quot;€&quot;_ ;_ @_ "/>
    <numFmt numFmtId="185" formatCode="_ * #,##0_€_ ;_ * #,##0_€_ ;_ * &quot;-&quot;_€_ ;_ @_ "/>
    <numFmt numFmtId="186" formatCode="_ * #,##0.00&quot;€&quot;_ ;_ * #,##0.00&quot;€&quot;_ ;_ * &quot;-&quot;??&quot;€&quot;_ ;_ @_ "/>
    <numFmt numFmtId="187" formatCode="_ * #,##0.00_€_ ;_ * #,##0.00_€_ ;_ * &quot;-&quot;??_€_ ;_ @_ "/>
    <numFmt numFmtId="188" formatCode="\$#,##0_);\(\$#,##0\)"/>
    <numFmt numFmtId="189" formatCode="\$#,##0_);[Red]\(\$#,##0\)"/>
    <numFmt numFmtId="190" formatCode="\$#,##0.00_);\(\$#,##0.00\)"/>
    <numFmt numFmtId="191" formatCode="\$#,##0.00_);[Red]\(\$#,##0.00\)"/>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s>
  <fonts count="28">
    <font>
      <sz val="10"/>
      <name val="Arial"/>
      <family val="0"/>
    </font>
    <font>
      <b/>
      <sz val="10"/>
      <name val="Arial"/>
      <family val="2"/>
    </font>
    <font>
      <sz val="8"/>
      <name val="Arial"/>
      <family val="0"/>
    </font>
    <font>
      <u val="single"/>
      <sz val="12.5"/>
      <color indexed="12"/>
      <name val="Arial"/>
      <family val="0"/>
    </font>
    <font>
      <u val="single"/>
      <sz val="12.5"/>
      <color indexed="61"/>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b/>
      <sz val="14"/>
      <name val="Arial"/>
      <family val="0"/>
    </font>
    <font>
      <sz val="14"/>
      <name val="Arial"/>
      <family val="0"/>
    </font>
    <font>
      <b/>
      <sz val="9"/>
      <name val="Arial"/>
      <family val="0"/>
    </font>
    <font>
      <sz val="12"/>
      <color indexed="9"/>
      <name val="Arial"/>
      <family val="0"/>
    </font>
    <font>
      <b/>
      <u val="single"/>
      <sz val="11"/>
      <name val="Arial"/>
      <family val="0"/>
    </font>
    <font>
      <b/>
      <sz val="14"/>
      <name val="Times New Roman"/>
      <family val="0"/>
    </font>
    <font>
      <sz val="14"/>
      <name val="Times New Roman"/>
      <family val="0"/>
    </font>
    <font>
      <b/>
      <sz val="36"/>
      <name val="Times New Roman"/>
      <family val="0"/>
    </font>
    <font>
      <sz val="10"/>
      <color indexed="61"/>
      <name val="Arial"/>
      <family val="0"/>
    </font>
    <font>
      <b/>
      <sz val="12"/>
      <color indexed="61"/>
      <name val="Arial"/>
      <family val="0"/>
    </font>
    <font>
      <b/>
      <sz val="10"/>
      <color indexed="61"/>
      <name val="Arial"/>
      <family val="0"/>
    </font>
    <font>
      <b/>
      <sz val="11"/>
      <color indexed="61"/>
      <name val="Arial"/>
      <family val="0"/>
    </font>
    <font>
      <b/>
      <u val="single"/>
      <sz val="11"/>
      <color indexed="10"/>
      <name val="Arial"/>
      <family val="0"/>
    </font>
    <font>
      <b/>
      <u val="single"/>
      <sz val="11"/>
      <color indexed="12"/>
      <name val="Arial"/>
      <family val="0"/>
    </font>
    <font>
      <sz val="10"/>
      <color indexed="57"/>
      <name val="Arial"/>
      <family val="0"/>
    </font>
    <font>
      <sz val="12"/>
      <color indexed="8"/>
      <name val="Arial"/>
      <family val="0"/>
    </font>
  </fonts>
  <fills count="8">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22"/>
        <bgColor indexed="64"/>
      </patternFill>
    </fill>
    <fill>
      <patternFill patternType="mediumGray">
        <bgColor indexed="22"/>
      </patternFill>
    </fill>
    <fill>
      <patternFill patternType="mediumGray">
        <fgColor indexed="8"/>
      </patternFill>
    </fill>
    <fill>
      <patternFill patternType="mediumGray"/>
    </fill>
  </fills>
  <borders count="38">
    <border>
      <left/>
      <right/>
      <top/>
      <bottom/>
      <diagonal/>
    </border>
    <border>
      <left>
        <color indexed="63"/>
      </left>
      <right>
        <color indexed="63"/>
      </right>
      <top>
        <color indexed="63"/>
      </top>
      <bottom style="thin"/>
    </border>
    <border>
      <left style="medium"/>
      <right style="medium"/>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medium"/>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cellStyleXfs>
  <cellXfs count="18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Alignment="1">
      <alignment vertical="center"/>
    </xf>
    <xf numFmtId="0" fontId="0" fillId="0" borderId="0" xfId="0" applyAlignment="1">
      <alignment horizontal="left" vertical="center"/>
    </xf>
    <xf numFmtId="0" fontId="0"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49" fontId="0" fillId="0" borderId="0" xfId="0" applyNumberFormat="1" applyBorder="1" applyAlignment="1">
      <alignment vertical="center"/>
    </xf>
    <xf numFmtId="0" fontId="6" fillId="2" borderId="0" xfId="0" applyFont="1" applyFill="1" applyBorder="1" applyAlignment="1">
      <alignment horizontal="center" vertical="center"/>
    </xf>
    <xf numFmtId="0" fontId="0" fillId="2" borderId="0" xfId="0" applyFill="1" applyBorder="1" applyAlignment="1">
      <alignment horizontal="center" vertical="center"/>
    </xf>
    <xf numFmtId="0" fontId="7" fillId="2" borderId="0" xfId="0" applyFont="1" applyFill="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vertical="center"/>
    </xf>
    <xf numFmtId="0" fontId="9" fillId="0" borderId="0" xfId="0" applyFont="1" applyBorder="1" applyAlignment="1">
      <alignment vertical="center"/>
    </xf>
    <xf numFmtId="0" fontId="8" fillId="0" borderId="1"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0" fillId="0" borderId="0" xfId="0" applyAlignment="1">
      <alignment horizontal="center"/>
    </xf>
    <xf numFmtId="0" fontId="9" fillId="0" borderId="1"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 fillId="0" borderId="0" xfId="0" applyFont="1" applyAlignment="1">
      <alignment horizontal="left" vertical="center"/>
    </xf>
    <xf numFmtId="0" fontId="11" fillId="0" borderId="0" xfId="0" applyFont="1" applyAlignment="1">
      <alignment horizontal="center" vertical="center"/>
    </xf>
    <xf numFmtId="0" fontId="8" fillId="0" borderId="1" xfId="0" applyFont="1" applyBorder="1" applyAlignment="1">
      <alignment horizontal="right" vertical="center"/>
    </xf>
    <xf numFmtId="0" fontId="0" fillId="0" borderId="1" xfId="0" applyBorder="1" applyAlignment="1">
      <alignment vertical="center"/>
    </xf>
    <xf numFmtId="0" fontId="12" fillId="0" borderId="1" xfId="0" applyFont="1" applyBorder="1" applyAlignment="1">
      <alignment horizontal="center" vertical="center"/>
    </xf>
    <xf numFmtId="0" fontId="13" fillId="0" borderId="0" xfId="0" applyFont="1" applyBorder="1" applyAlignment="1">
      <alignment vertical="center"/>
    </xf>
    <xf numFmtId="0" fontId="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Alignment="1">
      <alignment horizontal="right" vertical="center"/>
    </xf>
    <xf numFmtId="0" fontId="15" fillId="0" borderId="0" xfId="0" applyFont="1" applyBorder="1" applyAlignment="1">
      <alignment vertical="center"/>
    </xf>
    <xf numFmtId="0" fontId="1" fillId="3" borderId="0" xfId="0" applyFont="1" applyFill="1" applyAlignment="1">
      <alignment horizontal="center" vertical="center"/>
    </xf>
    <xf numFmtId="0" fontId="1" fillId="4" borderId="2" xfId="0" applyFont="1" applyFill="1" applyBorder="1" applyAlignment="1" applyProtection="1">
      <alignment horizontal="center" vertical="center"/>
      <protection locked="0"/>
    </xf>
    <xf numFmtId="0" fontId="0" fillId="0" borderId="0" xfId="0" applyFont="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6" fillId="0" borderId="3" xfId="0" applyFont="1" applyBorder="1" applyAlignment="1">
      <alignment vertical="center"/>
    </xf>
    <xf numFmtId="0" fontId="1"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2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1" xfId="0" applyFont="1" applyBorder="1" applyAlignment="1" applyProtection="1">
      <alignment horizontal="left" vertical="center"/>
      <protection locked="0"/>
    </xf>
    <xf numFmtId="0" fontId="9" fillId="0" borderId="1" xfId="0" applyFont="1" applyBorder="1" applyAlignment="1" applyProtection="1">
      <alignment vertical="center"/>
      <protection locked="0"/>
    </xf>
    <xf numFmtId="0" fontId="12" fillId="0" borderId="1" xfId="0"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1" fillId="4" borderId="5" xfId="0" applyFont="1" applyFill="1" applyBorder="1" applyAlignment="1" applyProtection="1">
      <alignment vertical="center"/>
      <protection locked="0"/>
    </xf>
    <xf numFmtId="0" fontId="5" fillId="4" borderId="6"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26" fillId="0" borderId="0" xfId="0" applyFont="1" applyAlignment="1" applyProtection="1">
      <alignment vertical="center"/>
      <protection locked="0"/>
    </xf>
    <xf numFmtId="0" fontId="0" fillId="0" borderId="10" xfId="0" applyFont="1" applyBorder="1" applyAlignment="1" applyProtection="1">
      <alignmen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6" borderId="2" xfId="0" applyFont="1" applyFill="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8" fillId="3"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0" borderId="11" xfId="0" applyFont="1" applyBorder="1" applyAlignment="1" applyProtection="1">
      <alignment/>
      <protection locked="0"/>
    </xf>
    <xf numFmtId="0" fontId="6" fillId="0" borderId="3" xfId="0" applyFont="1" applyBorder="1" applyAlignment="1" applyProtection="1">
      <alignment vertical="center"/>
      <protection locked="0"/>
    </xf>
    <xf numFmtId="0" fontId="14" fillId="0" borderId="11" xfId="0" applyFont="1" applyBorder="1" applyAlignment="1" applyProtection="1">
      <alignment horizontal="center" vertical="center"/>
      <protection locked="0"/>
    </xf>
    <xf numFmtId="0" fontId="8" fillId="0" borderId="14" xfId="0" applyFont="1" applyBorder="1" applyAlignment="1" applyProtection="1">
      <alignment/>
      <protection locked="0"/>
    </xf>
    <xf numFmtId="0" fontId="8" fillId="0" borderId="3"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7" borderId="2"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0" fillId="6" borderId="22" xfId="0" applyFont="1" applyFill="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49" fontId="0" fillId="0" borderId="3" xfId="0" applyNumberFormat="1" applyFont="1" applyBorder="1" applyAlignment="1" applyProtection="1">
      <alignment vertical="center"/>
      <protection locked="0"/>
    </xf>
    <xf numFmtId="0" fontId="8" fillId="3" borderId="12"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0" fillId="0" borderId="0" xfId="0" applyAlignment="1" applyProtection="1">
      <alignment/>
      <protection locked="0"/>
    </xf>
    <xf numFmtId="0" fontId="1" fillId="0" borderId="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4" xfId="0"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5" fillId="4" borderId="14"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0" fillId="6" borderId="25" xfId="0" applyFont="1" applyFill="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6" fillId="0" borderId="26" xfId="0" applyFont="1" applyBorder="1" applyAlignment="1" applyProtection="1">
      <alignment vertical="center"/>
      <protection locked="0"/>
    </xf>
    <xf numFmtId="0" fontId="0" fillId="0" borderId="0" xfId="0" applyFont="1" applyAlignment="1" applyProtection="1">
      <alignment vertical="center"/>
      <protection locked="0"/>
    </xf>
    <xf numFmtId="0" fontId="8" fillId="0" borderId="12" xfId="0" applyFont="1" applyBorder="1" applyAlignment="1" applyProtection="1">
      <alignment/>
      <protection locked="0"/>
    </xf>
    <xf numFmtId="0" fontId="6" fillId="0" borderId="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6" borderId="2" xfId="0" applyFont="1" applyFill="1" applyBorder="1" applyAlignment="1" applyProtection="1">
      <alignment horizontal="center" vertical="center"/>
      <protection locked="0"/>
    </xf>
    <xf numFmtId="0" fontId="8" fillId="0" borderId="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1" fillId="0" borderId="11"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0" fillId="6" borderId="2" xfId="0" applyFont="1" applyFill="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3" fillId="0" borderId="3"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1" fillId="4" borderId="27" xfId="0" applyFont="1" applyFill="1" applyBorder="1" applyAlignment="1" applyProtection="1">
      <alignment vertical="center"/>
      <protection locked="0"/>
    </xf>
    <xf numFmtId="0" fontId="5" fillId="4" borderId="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 fillId="4" borderId="27"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protection locked="0"/>
    </xf>
    <xf numFmtId="0" fontId="9"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8" fillId="0" borderId="20" xfId="0" applyFont="1" applyBorder="1" applyAlignment="1" applyProtection="1">
      <alignment/>
      <protection locked="0"/>
    </xf>
    <xf numFmtId="0" fontId="0" fillId="7" borderId="22" xfId="0" applyFont="1" applyFill="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0" fillId="0" borderId="37" xfId="0" applyFont="1" applyBorder="1" applyAlignment="1" applyProtection="1">
      <alignment vertic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83"/>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1066800</xdr:colOff>
      <xdr:row>3</xdr:row>
      <xdr:rowOff>76200</xdr:rowOff>
    </xdr:from>
    <xdr:ext cx="1590675" cy="247650"/>
    <xdr:sp>
      <xdr:nvSpPr>
        <xdr:cNvPr id="2" name="TextBox 213"/>
        <xdr:cNvSpPr txBox="1">
          <a:spLocks noChangeArrowheads="1"/>
        </xdr:cNvSpPr>
      </xdr:nvSpPr>
      <xdr:spPr>
        <a:xfrm>
          <a:off x="6838950" y="1295400"/>
          <a:ext cx="1590675" cy="24765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Höchster W6 + mögliche</a:t>
          </a:r>
        </a:p>
      </xdr:txBody>
    </xdr:sp>
    <xdr:clientData/>
  </xdr:oneCellAnchor>
  <xdr:oneCellAnchor>
    <xdr:from>
      <xdr:col>7</xdr:col>
      <xdr:colOff>209550</xdr:colOff>
      <xdr:row>5</xdr:row>
      <xdr:rowOff>66675</xdr:rowOff>
    </xdr:from>
    <xdr:ext cx="438150" cy="228600"/>
    <xdr:sp>
      <xdr:nvSpPr>
        <xdr:cNvPr id="3" name="TextBox 214"/>
        <xdr:cNvSpPr txBox="1">
          <a:spLocks noChangeArrowheads="1"/>
        </xdr:cNvSpPr>
      </xdr:nvSpPr>
      <xdr:spPr>
        <a:xfrm>
          <a:off x="2714625" y="1704975"/>
          <a:ext cx="438150" cy="22860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2W6 + </a:t>
          </a:r>
        </a:p>
      </xdr:txBody>
    </xdr:sp>
    <xdr:clientData/>
  </xdr:oneCellAnchor>
  <xdr:twoCellAnchor>
    <xdr:from>
      <xdr:col>24</xdr:col>
      <xdr:colOff>400050</xdr:colOff>
      <xdr:row>1</xdr:row>
      <xdr:rowOff>66675</xdr:rowOff>
    </xdr:from>
    <xdr:to>
      <xdr:col>29</xdr:col>
      <xdr:colOff>619125</xdr:colOff>
      <xdr:row>6</xdr:row>
      <xdr:rowOff>200025</xdr:rowOff>
    </xdr:to>
    <xdr:sp>
      <xdr:nvSpPr>
        <xdr:cNvPr id="4" name="TextBox 252"/>
        <xdr:cNvSpPr txBox="1">
          <a:spLocks noChangeArrowheads="1"/>
        </xdr:cNvSpPr>
      </xdr:nvSpPr>
      <xdr:spPr>
        <a:xfrm>
          <a:off x="9182100" y="133350"/>
          <a:ext cx="4895850" cy="202882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2014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P379"/>
  <sheetViews>
    <sheetView tabSelected="1" zoomScale="125" zoomScaleNormal="125" workbookViewId="0" topLeftCell="A1">
      <selection activeCell="Z22" sqref="Z22"/>
    </sheetView>
  </sheetViews>
  <sheetFormatPr defaultColWidth="11.421875" defaultRowHeight="12.75"/>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3.421875" style="2" hidden="1" customWidth="1"/>
    <col min="21" max="21" width="3.28125" style="2" customWidth="1"/>
    <col min="22" max="22" width="4.28125" style="2" customWidth="1"/>
    <col min="23" max="23" width="4.8515625" style="2" customWidth="1"/>
    <col min="24" max="24" width="45.140625" style="2" customWidth="1"/>
    <col min="25" max="25" width="10.8515625" style="2" customWidth="1"/>
    <col min="26" max="26" width="22.140625" style="2" customWidth="1"/>
    <col min="27" max="27" width="10.8515625" style="2" customWidth="1"/>
    <col min="28" max="28" width="21.8515625" style="2" customWidth="1"/>
    <col min="29" max="29" width="4.421875" style="2" customWidth="1"/>
    <col min="30" max="30" width="23.00390625" style="2" customWidth="1"/>
    <col min="31" max="31" width="4.140625" style="2" customWidth="1"/>
    <col min="32" max="32" width="24.421875" style="2" customWidth="1"/>
    <col min="33" max="33" width="10.8515625" style="2" customWidth="1"/>
    <col min="34" max="34" width="19.7109375" style="2" customWidth="1"/>
    <col min="35" max="16384" width="10.8515625" style="2" customWidth="1"/>
  </cols>
  <sheetData>
    <row r="1" ht="5.25" customHeight="1"/>
    <row r="2" spans="1:24" ht="50.25" customHeight="1">
      <c r="A2" s="46" t="s">
        <v>47</v>
      </c>
      <c r="B2" s="47"/>
      <c r="C2" s="47"/>
      <c r="D2" s="47"/>
      <c r="E2" s="47"/>
      <c r="F2" s="47"/>
      <c r="G2" s="47"/>
      <c r="H2" s="47"/>
      <c r="I2" s="47"/>
      <c r="J2" s="47"/>
      <c r="K2" s="47"/>
      <c r="L2" s="47"/>
      <c r="M2" s="47"/>
      <c r="N2" s="47"/>
      <c r="O2" s="47"/>
      <c r="P2" s="47"/>
      <c r="Q2" s="47"/>
      <c r="R2" s="47"/>
      <c r="S2" s="47"/>
      <c r="T2" s="47"/>
      <c r="U2" s="47"/>
      <c r="V2" s="47"/>
      <c r="W2" s="47"/>
      <c r="X2" s="47"/>
    </row>
    <row r="3" spans="1:24" ht="40.5" customHeight="1">
      <c r="A3" s="48" t="s">
        <v>248</v>
      </c>
      <c r="B3" s="47"/>
      <c r="C3" s="47"/>
      <c r="D3" s="47"/>
      <c r="E3" s="47"/>
      <c r="F3" s="47"/>
      <c r="G3" s="47"/>
      <c r="H3" s="47"/>
      <c r="I3" s="47"/>
      <c r="J3" s="47"/>
      <c r="K3" s="47"/>
      <c r="L3" s="47"/>
      <c r="M3" s="47"/>
      <c r="N3" s="47"/>
      <c r="O3" s="47"/>
      <c r="P3" s="47"/>
      <c r="Q3" s="47"/>
      <c r="R3" s="47"/>
      <c r="S3" s="47"/>
      <c r="T3" s="47"/>
      <c r="U3" s="47"/>
      <c r="V3" s="47"/>
      <c r="W3" s="47"/>
      <c r="X3" s="47"/>
    </row>
    <row r="4" spans="1:24" ht="25.5" customHeight="1">
      <c r="A4" s="51" t="s">
        <v>253</v>
      </c>
      <c r="B4" s="52"/>
      <c r="C4" s="52"/>
      <c r="D4" s="52"/>
      <c r="E4" s="52"/>
      <c r="F4" s="52"/>
      <c r="G4" s="52"/>
      <c r="H4" s="52"/>
      <c r="I4" s="52"/>
      <c r="J4" s="52"/>
      <c r="K4" s="52"/>
      <c r="L4" s="17"/>
      <c r="M4" s="17"/>
      <c r="N4" s="18"/>
      <c r="O4" s="18"/>
      <c r="P4" s="18"/>
      <c r="R4" s="18"/>
      <c r="S4" s="23"/>
      <c r="T4" s="17"/>
      <c r="U4" s="17"/>
      <c r="V4" s="19"/>
      <c r="W4" s="28" t="s">
        <v>49</v>
      </c>
      <c r="X4" s="53">
        <f>IF(B25="-",0,B25*1)+IF(B57="-",0,B57*1)+IF(B65="-",0,B65*1)+IF(B97="-",0,B97*1)+IF(B118="-",0,B118*1)+IF(AND(B127=1,B126&lt;&gt;"-"),B126*1,0)+IF(AND(B142=1,B141&lt;&gt;"-"),B141*1,0)</f>
        <v>0</v>
      </c>
    </row>
    <row r="5" spans="1:24" ht="7.5" customHeight="1">
      <c r="A5" s="20"/>
      <c r="B5" s="20"/>
      <c r="C5" s="20"/>
      <c r="D5" s="20"/>
      <c r="E5" s="20"/>
      <c r="F5" s="20"/>
      <c r="G5" s="20"/>
      <c r="H5" s="20"/>
      <c r="I5" s="20"/>
      <c r="J5" s="20"/>
      <c r="K5" s="20"/>
      <c r="L5" s="20"/>
      <c r="M5" s="20"/>
      <c r="N5" s="20"/>
      <c r="O5" s="20"/>
      <c r="P5" s="20"/>
      <c r="Q5" s="21"/>
      <c r="R5" s="20"/>
      <c r="S5" s="24"/>
      <c r="T5" s="20"/>
      <c r="U5" s="20"/>
      <c r="V5" s="20"/>
      <c r="W5" s="20"/>
      <c r="X5" s="31"/>
    </row>
    <row r="6" spans="1:24" ht="25.5" customHeight="1">
      <c r="A6" s="16" t="s">
        <v>162</v>
      </c>
      <c r="B6" s="17"/>
      <c r="C6" s="19" t="s">
        <v>211</v>
      </c>
      <c r="D6" s="17"/>
      <c r="E6" s="29"/>
      <c r="F6" s="17"/>
      <c r="G6" s="17"/>
      <c r="H6" s="17"/>
      <c r="I6" s="17"/>
      <c r="J6" s="17"/>
      <c r="K6" s="54">
        <f>IF(B25="-",0,B25*1)+IF(B57="-",0,B57*1)+IF(B65="-",0,B65*1)+IF(B97="-",0,B97*1)+IF(B118="-",0,B118*1)+IF(AND(B127=1,B126&lt;&gt;"-"),B126*1,0)+IF(AND(B142=1,B141&lt;&gt;"-"),B141*1,0)</f>
        <v>0</v>
      </c>
      <c r="L6" s="17"/>
      <c r="M6" s="17"/>
      <c r="N6" s="18"/>
      <c r="O6" s="36" t="e">
        <f>AND(#REF!="-",B57="-",B118="-")</f>
        <v>#REF!</v>
      </c>
      <c r="P6" s="18"/>
      <c r="R6" s="18"/>
      <c r="S6" s="23"/>
      <c r="T6" s="17"/>
      <c r="U6" s="17"/>
      <c r="V6" s="29"/>
      <c r="W6" s="28" t="s">
        <v>48</v>
      </c>
      <c r="X6" s="30">
        <f>V242</f>
        <v>0</v>
      </c>
    </row>
    <row r="7" spans="1:24" ht="39" customHeight="1" thickBot="1">
      <c r="A7" s="49" t="s">
        <v>16</v>
      </c>
      <c r="B7" s="50"/>
      <c r="C7" s="50"/>
      <c r="D7" s="50"/>
      <c r="E7" s="50"/>
      <c r="F7" s="50"/>
      <c r="G7" s="50"/>
      <c r="H7" s="50"/>
      <c r="I7" s="50"/>
      <c r="J7" s="50"/>
      <c r="K7" s="50"/>
      <c r="L7" s="50"/>
      <c r="M7" s="50"/>
      <c r="N7" s="50"/>
      <c r="O7" s="50"/>
      <c r="P7" s="50"/>
      <c r="Q7" s="50"/>
      <c r="R7" s="50"/>
      <c r="S7" s="50"/>
      <c r="T7" s="50"/>
      <c r="U7" s="50"/>
      <c r="V7" s="50"/>
      <c r="W7" s="50"/>
      <c r="X7" s="50"/>
    </row>
    <row r="8" spans="1:28" s="63" customFormat="1" ht="25.5" customHeight="1">
      <c r="A8" s="55" t="s">
        <v>168</v>
      </c>
      <c r="B8" s="56" t="s">
        <v>54</v>
      </c>
      <c r="C8" s="57" t="s">
        <v>309</v>
      </c>
      <c r="D8" s="57" t="s">
        <v>190</v>
      </c>
      <c r="E8" s="57" t="s">
        <v>191</v>
      </c>
      <c r="F8" s="57" t="s">
        <v>250</v>
      </c>
      <c r="G8" s="57" t="s">
        <v>310</v>
      </c>
      <c r="H8" s="57" t="s">
        <v>192</v>
      </c>
      <c r="I8" s="57" t="s">
        <v>193</v>
      </c>
      <c r="J8" s="57" t="s">
        <v>194</v>
      </c>
      <c r="K8" s="57" t="s">
        <v>195</v>
      </c>
      <c r="L8" s="58"/>
      <c r="M8" s="57" t="s">
        <v>163</v>
      </c>
      <c r="N8" s="57" t="s">
        <v>164</v>
      </c>
      <c r="O8" s="57" t="s">
        <v>127</v>
      </c>
      <c r="P8" s="57" t="s">
        <v>247</v>
      </c>
      <c r="Q8" s="57" t="s">
        <v>187</v>
      </c>
      <c r="R8" s="57" t="s">
        <v>189</v>
      </c>
      <c r="S8" s="59" t="s">
        <v>114</v>
      </c>
      <c r="T8" s="60" t="s">
        <v>202</v>
      </c>
      <c r="U8" s="61" t="s">
        <v>188</v>
      </c>
      <c r="V8" s="38" t="s">
        <v>171</v>
      </c>
      <c r="W8" s="62" t="s">
        <v>52</v>
      </c>
      <c r="X8" s="61" t="s">
        <v>203</v>
      </c>
      <c r="Z8" s="64" t="s">
        <v>147</v>
      </c>
      <c r="AA8" s="64">
        <f>SUM(W9:W73)</f>
        <v>0</v>
      </c>
      <c r="AB8" s="64" t="s">
        <v>52</v>
      </c>
    </row>
    <row r="9" spans="1:24" s="63" customFormat="1" ht="15.75" customHeight="1">
      <c r="A9" s="65"/>
      <c r="B9" s="66"/>
      <c r="C9" s="66"/>
      <c r="D9" s="66"/>
      <c r="E9" s="66"/>
      <c r="F9" s="66"/>
      <c r="G9" s="66"/>
      <c r="H9" s="66"/>
      <c r="I9" s="66"/>
      <c r="J9" s="66"/>
      <c r="K9" s="67"/>
      <c r="L9" s="68"/>
      <c r="M9" s="69"/>
      <c r="N9" s="66"/>
      <c r="O9" s="66"/>
      <c r="P9" s="66"/>
      <c r="Q9" s="66"/>
      <c r="R9" s="67"/>
      <c r="S9" s="70"/>
      <c r="T9" s="71"/>
      <c r="U9" s="72"/>
      <c r="V9" s="73"/>
      <c r="W9" s="73"/>
      <c r="X9" s="74"/>
    </row>
    <row r="10" spans="1:24" s="63" customFormat="1" ht="15.75" customHeight="1">
      <c r="A10" s="75" t="s">
        <v>254</v>
      </c>
      <c r="B10" s="76" t="s">
        <v>179</v>
      </c>
      <c r="C10" s="66">
        <v>9</v>
      </c>
      <c r="D10" s="66">
        <v>8</v>
      </c>
      <c r="E10" s="66">
        <v>8</v>
      </c>
      <c r="F10" s="66">
        <v>6</v>
      </c>
      <c r="G10" s="66">
        <v>5</v>
      </c>
      <c r="H10" s="66">
        <v>5</v>
      </c>
      <c r="I10" s="66">
        <v>9</v>
      </c>
      <c r="J10" s="77" t="s">
        <v>105</v>
      </c>
      <c r="K10" s="67">
        <v>10</v>
      </c>
      <c r="L10" s="68"/>
      <c r="M10" s="69"/>
      <c r="N10" s="66"/>
      <c r="O10" s="66">
        <v>1</v>
      </c>
      <c r="P10" s="66" t="s">
        <v>179</v>
      </c>
      <c r="Q10" s="66" t="s">
        <v>166</v>
      </c>
      <c r="R10" s="66" t="s">
        <v>179</v>
      </c>
      <c r="S10" s="70"/>
      <c r="T10" s="78"/>
      <c r="U10" s="72" t="s">
        <v>126</v>
      </c>
      <c r="V10" s="72"/>
      <c r="W10" s="73">
        <f>IF(B10="-",0,B10)*600</f>
        <v>0</v>
      </c>
      <c r="X10" s="79" t="s">
        <v>100</v>
      </c>
    </row>
    <row r="11" spans="1:24" s="63" customFormat="1" ht="15.75" customHeight="1">
      <c r="A11" s="75" t="s">
        <v>255</v>
      </c>
      <c r="B11" s="66"/>
      <c r="C11" s="66"/>
      <c r="D11" s="66"/>
      <c r="E11" s="66"/>
      <c r="F11" s="80"/>
      <c r="G11" s="66"/>
      <c r="H11" s="66"/>
      <c r="I11" s="66"/>
      <c r="J11" s="66"/>
      <c r="K11" s="67"/>
      <c r="L11" s="68"/>
      <c r="M11" s="69"/>
      <c r="N11" s="66"/>
      <c r="O11" s="66"/>
      <c r="P11" s="66"/>
      <c r="Q11" s="66"/>
      <c r="R11" s="67"/>
      <c r="S11" s="70"/>
      <c r="T11" s="81"/>
      <c r="U11" s="72"/>
      <c r="V11" s="82"/>
      <c r="W11" s="73"/>
      <c r="X11" s="79" t="s">
        <v>101</v>
      </c>
    </row>
    <row r="12" spans="1:24" s="63" customFormat="1" ht="15.75" customHeight="1">
      <c r="A12" s="75"/>
      <c r="B12" s="66"/>
      <c r="C12" s="66"/>
      <c r="D12" s="66"/>
      <c r="E12" s="66"/>
      <c r="F12" s="80"/>
      <c r="G12" s="66"/>
      <c r="H12" s="66"/>
      <c r="I12" s="66"/>
      <c r="J12" s="66"/>
      <c r="K12" s="67"/>
      <c r="L12" s="68"/>
      <c r="M12" s="69"/>
      <c r="N12" s="66"/>
      <c r="O12" s="66"/>
      <c r="P12" s="66"/>
      <c r="Q12" s="66"/>
      <c r="R12" s="67"/>
      <c r="S12" s="70"/>
      <c r="T12" s="81"/>
      <c r="U12" s="72"/>
      <c r="V12" s="82"/>
      <c r="W12" s="73"/>
      <c r="X12" s="83" t="s">
        <v>102</v>
      </c>
    </row>
    <row r="13" spans="1:24" s="63" customFormat="1" ht="15.75" customHeight="1">
      <c r="A13" s="75"/>
      <c r="B13" s="66"/>
      <c r="C13" s="66"/>
      <c r="D13" s="66"/>
      <c r="E13" s="66"/>
      <c r="F13" s="80"/>
      <c r="G13" s="66"/>
      <c r="H13" s="66"/>
      <c r="I13" s="66"/>
      <c r="J13" s="66"/>
      <c r="K13" s="67"/>
      <c r="L13" s="68"/>
      <c r="M13" s="69"/>
      <c r="N13" s="66"/>
      <c r="O13" s="66"/>
      <c r="P13" s="66"/>
      <c r="Q13" s="66"/>
      <c r="R13" s="67"/>
      <c r="S13" s="70"/>
      <c r="T13" s="81"/>
      <c r="U13" s="72"/>
      <c r="V13" s="82"/>
      <c r="W13" s="73"/>
      <c r="X13" s="84" t="s">
        <v>103</v>
      </c>
    </row>
    <row r="14" spans="1:24" s="63" customFormat="1" ht="15.75" customHeight="1">
      <c r="A14" s="75"/>
      <c r="B14" s="66"/>
      <c r="C14" s="66"/>
      <c r="D14" s="66"/>
      <c r="E14" s="66"/>
      <c r="F14" s="80"/>
      <c r="G14" s="66"/>
      <c r="H14" s="66"/>
      <c r="I14" s="66"/>
      <c r="J14" s="66"/>
      <c r="K14" s="67"/>
      <c r="L14" s="68"/>
      <c r="M14" s="69"/>
      <c r="N14" s="66"/>
      <c r="O14" s="66"/>
      <c r="P14" s="66"/>
      <c r="Q14" s="66"/>
      <c r="R14" s="67"/>
      <c r="S14" s="70"/>
      <c r="T14" s="81"/>
      <c r="U14" s="72"/>
      <c r="V14" s="82"/>
      <c r="W14" s="73"/>
      <c r="X14" s="85" t="s">
        <v>104</v>
      </c>
    </row>
    <row r="15" spans="1:24" s="63" customFormat="1" ht="15.75" customHeight="1">
      <c r="A15" s="75"/>
      <c r="B15" s="66"/>
      <c r="C15" s="66"/>
      <c r="D15" s="66"/>
      <c r="E15" s="66"/>
      <c r="F15" s="80"/>
      <c r="G15" s="66"/>
      <c r="H15" s="66"/>
      <c r="I15" s="66"/>
      <c r="J15" s="66"/>
      <c r="K15" s="67"/>
      <c r="L15" s="68"/>
      <c r="M15" s="69"/>
      <c r="N15" s="66"/>
      <c r="O15" s="66"/>
      <c r="P15" s="66"/>
      <c r="Q15" s="66"/>
      <c r="R15" s="67"/>
      <c r="S15" s="70"/>
      <c r="T15" s="81"/>
      <c r="U15" s="72"/>
      <c r="V15" s="82"/>
      <c r="W15" s="73"/>
      <c r="X15" s="79" t="s">
        <v>106</v>
      </c>
    </row>
    <row r="16" spans="1:24" s="63" customFormat="1" ht="15.75" customHeight="1">
      <c r="A16" s="75"/>
      <c r="B16" s="66"/>
      <c r="C16" s="66"/>
      <c r="D16" s="66"/>
      <c r="E16" s="66"/>
      <c r="F16" s="80"/>
      <c r="G16" s="66"/>
      <c r="H16" s="66"/>
      <c r="I16" s="66"/>
      <c r="J16" s="66"/>
      <c r="K16" s="67"/>
      <c r="L16" s="68"/>
      <c r="M16" s="69"/>
      <c r="N16" s="66"/>
      <c r="O16" s="66"/>
      <c r="P16" s="66"/>
      <c r="Q16" s="66"/>
      <c r="R16" s="67"/>
      <c r="S16" s="70"/>
      <c r="T16" s="81"/>
      <c r="U16" s="72"/>
      <c r="V16" s="82"/>
      <c r="W16" s="73"/>
      <c r="X16" s="79" t="s">
        <v>0</v>
      </c>
    </row>
    <row r="17" spans="1:24" s="63" customFormat="1" ht="15.75" customHeight="1">
      <c r="A17" s="75"/>
      <c r="B17" s="66"/>
      <c r="C17" s="66"/>
      <c r="D17" s="66"/>
      <c r="E17" s="66"/>
      <c r="F17" s="80"/>
      <c r="G17" s="66"/>
      <c r="H17" s="66"/>
      <c r="I17" s="66"/>
      <c r="J17" s="66"/>
      <c r="K17" s="67"/>
      <c r="L17" s="68"/>
      <c r="M17" s="69"/>
      <c r="N17" s="66"/>
      <c r="O17" s="66"/>
      <c r="P17" s="66"/>
      <c r="Q17" s="66"/>
      <c r="R17" s="67"/>
      <c r="S17" s="70"/>
      <c r="T17" s="81"/>
      <c r="U17" s="72"/>
      <c r="V17" s="82"/>
      <c r="W17" s="73"/>
      <c r="X17" s="79" t="s">
        <v>1</v>
      </c>
    </row>
    <row r="18" spans="1:24" s="63" customFormat="1" ht="15.75" customHeight="1">
      <c r="A18" s="75"/>
      <c r="B18" s="66"/>
      <c r="C18" s="66"/>
      <c r="D18" s="66"/>
      <c r="E18" s="66"/>
      <c r="F18" s="80"/>
      <c r="G18" s="66"/>
      <c r="H18" s="66"/>
      <c r="I18" s="66"/>
      <c r="J18" s="66"/>
      <c r="K18" s="67"/>
      <c r="L18" s="68"/>
      <c r="M18" s="69"/>
      <c r="N18" s="66"/>
      <c r="O18" s="66"/>
      <c r="P18" s="66"/>
      <c r="Q18" s="66"/>
      <c r="R18" s="67"/>
      <c r="S18" s="70"/>
      <c r="T18" s="81"/>
      <c r="U18" s="72"/>
      <c r="V18" s="82"/>
      <c r="W18" s="73"/>
      <c r="X18" s="85" t="s">
        <v>2</v>
      </c>
    </row>
    <row r="19" spans="1:24" s="63" customFormat="1" ht="15.75" customHeight="1">
      <c r="A19" s="75"/>
      <c r="B19" s="66"/>
      <c r="C19" s="66"/>
      <c r="D19" s="66"/>
      <c r="E19" s="66"/>
      <c r="F19" s="80"/>
      <c r="G19" s="66"/>
      <c r="H19" s="66"/>
      <c r="I19" s="66"/>
      <c r="J19" s="66"/>
      <c r="K19" s="67"/>
      <c r="L19" s="68"/>
      <c r="M19" s="69"/>
      <c r="N19" s="66"/>
      <c r="O19" s="66"/>
      <c r="P19" s="66"/>
      <c r="Q19" s="66"/>
      <c r="R19" s="67"/>
      <c r="S19" s="70"/>
      <c r="T19" s="81"/>
      <c r="U19" s="72"/>
      <c r="V19" s="82"/>
      <c r="W19" s="73"/>
      <c r="X19" s="83" t="s">
        <v>98</v>
      </c>
    </row>
    <row r="20" spans="1:24" s="63" customFormat="1" ht="15.75" customHeight="1">
      <c r="A20" s="75" t="s">
        <v>256</v>
      </c>
      <c r="B20" s="76" t="s">
        <v>179</v>
      </c>
      <c r="C20" s="66">
        <v>9</v>
      </c>
      <c r="D20" s="66">
        <v>4</v>
      </c>
      <c r="E20" s="66">
        <v>0</v>
      </c>
      <c r="F20" s="66">
        <v>4</v>
      </c>
      <c r="G20" s="66">
        <v>4</v>
      </c>
      <c r="H20" s="66">
        <v>1</v>
      </c>
      <c r="I20" s="66">
        <v>4</v>
      </c>
      <c r="J20" s="77" t="s">
        <v>130</v>
      </c>
      <c r="K20" s="67">
        <v>6</v>
      </c>
      <c r="L20" s="68"/>
      <c r="M20" s="69"/>
      <c r="N20" s="66"/>
      <c r="O20" s="66"/>
      <c r="P20" s="66"/>
      <c r="Q20" s="66"/>
      <c r="R20" s="67"/>
      <c r="S20" s="70"/>
      <c r="T20" s="86"/>
      <c r="U20" s="72"/>
      <c r="V20" s="73"/>
      <c r="W20" s="73">
        <f>IF(B20=2,20,0)</f>
        <v>0</v>
      </c>
      <c r="X20" s="79" t="s">
        <v>90</v>
      </c>
    </row>
    <row r="21" spans="1:24" s="63" customFormat="1" ht="15.75" customHeight="1">
      <c r="A21" s="75"/>
      <c r="B21" s="66"/>
      <c r="C21" s="66"/>
      <c r="D21" s="66"/>
      <c r="E21" s="66"/>
      <c r="F21" s="66"/>
      <c r="G21" s="66"/>
      <c r="H21" s="66"/>
      <c r="I21" s="66"/>
      <c r="J21" s="66"/>
      <c r="K21" s="67"/>
      <c r="L21" s="68"/>
      <c r="M21" s="69"/>
      <c r="N21" s="66"/>
      <c r="O21" s="66"/>
      <c r="P21" s="66"/>
      <c r="Q21" s="66"/>
      <c r="R21" s="67"/>
      <c r="S21" s="70"/>
      <c r="T21" s="71"/>
      <c r="U21" s="72"/>
      <c r="V21" s="73"/>
      <c r="W21" s="73"/>
      <c r="X21" s="83" t="s">
        <v>99</v>
      </c>
    </row>
    <row r="22" spans="1:24" s="63" customFormat="1" ht="15.75" customHeight="1">
      <c r="A22" s="75"/>
      <c r="B22" s="66"/>
      <c r="C22" s="66"/>
      <c r="D22" s="66"/>
      <c r="E22" s="66"/>
      <c r="F22" s="66"/>
      <c r="G22" s="66"/>
      <c r="H22" s="66"/>
      <c r="I22" s="66"/>
      <c r="J22" s="66"/>
      <c r="K22" s="67"/>
      <c r="L22" s="68"/>
      <c r="M22" s="69"/>
      <c r="N22" s="66"/>
      <c r="O22" s="66"/>
      <c r="P22" s="66"/>
      <c r="Q22" s="66"/>
      <c r="R22" s="67"/>
      <c r="S22" s="70"/>
      <c r="T22" s="71"/>
      <c r="U22" s="72"/>
      <c r="V22" s="73"/>
      <c r="W22" s="73"/>
      <c r="X22" s="84" t="s">
        <v>94</v>
      </c>
    </row>
    <row r="23" spans="1:24" s="63" customFormat="1" ht="15.75" customHeight="1">
      <c r="A23" s="75"/>
      <c r="B23" s="66"/>
      <c r="C23" s="66"/>
      <c r="D23" s="66"/>
      <c r="E23" s="66"/>
      <c r="F23" s="66"/>
      <c r="G23" s="66"/>
      <c r="H23" s="66"/>
      <c r="I23" s="66"/>
      <c r="J23" s="66"/>
      <c r="K23" s="67"/>
      <c r="L23" s="68"/>
      <c r="M23" s="69"/>
      <c r="N23" s="66"/>
      <c r="O23" s="66"/>
      <c r="P23" s="66"/>
      <c r="Q23" s="66"/>
      <c r="R23" s="67"/>
      <c r="S23" s="70"/>
      <c r="T23" s="71"/>
      <c r="U23" s="72"/>
      <c r="V23" s="73"/>
      <c r="W23" s="73"/>
      <c r="X23" s="84"/>
    </row>
    <row r="24" spans="1:24" s="63" customFormat="1" ht="15.75" customHeight="1">
      <c r="A24" s="75"/>
      <c r="B24" s="66"/>
      <c r="C24" s="66"/>
      <c r="D24" s="66"/>
      <c r="E24" s="66"/>
      <c r="F24" s="66"/>
      <c r="G24" s="66"/>
      <c r="H24" s="66"/>
      <c r="I24" s="66"/>
      <c r="J24" s="66"/>
      <c r="K24" s="67"/>
      <c r="L24" s="68"/>
      <c r="M24" s="69"/>
      <c r="N24" s="66"/>
      <c r="O24" s="66"/>
      <c r="P24" s="66"/>
      <c r="Q24" s="66"/>
      <c r="R24" s="67"/>
      <c r="S24" s="70"/>
      <c r="T24" s="71"/>
      <c r="U24" s="72"/>
      <c r="V24" s="73"/>
      <c r="W24" s="73"/>
      <c r="X24" s="84"/>
    </row>
    <row r="25" spans="1:24" s="63" customFormat="1" ht="15.75" customHeight="1">
      <c r="A25" s="87" t="s">
        <v>44</v>
      </c>
      <c r="B25" s="76" t="s">
        <v>179</v>
      </c>
      <c r="C25" s="66">
        <v>5</v>
      </c>
      <c r="D25" s="66">
        <v>7</v>
      </c>
      <c r="E25" s="66">
        <v>7</v>
      </c>
      <c r="F25" s="66">
        <v>6</v>
      </c>
      <c r="G25" s="66">
        <v>6</v>
      </c>
      <c r="H25" s="66">
        <v>6</v>
      </c>
      <c r="I25" s="66">
        <v>2</v>
      </c>
      <c r="J25" s="77" t="s">
        <v>95</v>
      </c>
      <c r="K25" s="67">
        <v>10</v>
      </c>
      <c r="L25" s="88"/>
      <c r="M25" s="69"/>
      <c r="N25" s="66"/>
      <c r="O25" s="66">
        <v>1</v>
      </c>
      <c r="P25" s="66" t="s">
        <v>179</v>
      </c>
      <c r="Q25" s="66" t="s">
        <v>179</v>
      </c>
      <c r="R25" s="66" t="s">
        <v>179</v>
      </c>
      <c r="S25" s="70" t="s">
        <v>209</v>
      </c>
      <c r="T25" s="78"/>
      <c r="U25" s="72" t="s">
        <v>56</v>
      </c>
      <c r="V25" s="73"/>
      <c r="W25" s="73">
        <f>IF(B25="-",0,B25)*(385)</f>
        <v>0</v>
      </c>
      <c r="X25" s="79" t="s">
        <v>160</v>
      </c>
    </row>
    <row r="26" spans="1:24" s="63" customFormat="1" ht="15.75" customHeight="1">
      <c r="A26" s="75" t="s">
        <v>249</v>
      </c>
      <c r="B26" s="66">
        <v>1</v>
      </c>
      <c r="C26" s="66"/>
      <c r="D26" s="66"/>
      <c r="E26" s="66"/>
      <c r="F26" s="66"/>
      <c r="G26" s="66"/>
      <c r="H26" s="66"/>
      <c r="I26" s="66"/>
      <c r="J26" s="66"/>
      <c r="K26" s="67"/>
      <c r="L26" s="88"/>
      <c r="M26" s="69"/>
      <c r="N26" s="66"/>
      <c r="O26" s="89"/>
      <c r="P26" s="89"/>
      <c r="Q26" s="89"/>
      <c r="R26" s="90"/>
      <c r="S26" s="91"/>
      <c r="T26" s="92"/>
      <c r="U26" s="93"/>
      <c r="V26" s="94"/>
      <c r="W26" s="94"/>
      <c r="X26" s="83" t="s">
        <v>141</v>
      </c>
    </row>
    <row r="27" spans="1:24" s="63" customFormat="1" ht="15.75" customHeight="1">
      <c r="A27" s="87"/>
      <c r="B27" s="89"/>
      <c r="C27" s="66"/>
      <c r="D27" s="66"/>
      <c r="E27" s="66"/>
      <c r="F27" s="66"/>
      <c r="G27" s="66"/>
      <c r="H27" s="66"/>
      <c r="I27" s="66"/>
      <c r="J27" s="66"/>
      <c r="K27" s="67"/>
      <c r="L27" s="88"/>
      <c r="M27" s="69"/>
      <c r="N27" s="66"/>
      <c r="O27" s="89"/>
      <c r="P27" s="89"/>
      <c r="Q27" s="89"/>
      <c r="R27" s="90"/>
      <c r="S27" s="91"/>
      <c r="T27" s="92"/>
      <c r="U27" s="93"/>
      <c r="V27" s="94"/>
      <c r="W27" s="94"/>
      <c r="X27" s="85" t="s">
        <v>142</v>
      </c>
    </row>
    <row r="28" spans="1:24" s="63" customFormat="1" ht="15.75" customHeight="1">
      <c r="A28" s="87"/>
      <c r="B28" s="89"/>
      <c r="C28" s="66"/>
      <c r="D28" s="66"/>
      <c r="E28" s="66"/>
      <c r="F28" s="66"/>
      <c r="G28" s="66"/>
      <c r="H28" s="66"/>
      <c r="I28" s="66"/>
      <c r="J28" s="66"/>
      <c r="K28" s="67"/>
      <c r="L28" s="88"/>
      <c r="M28" s="69"/>
      <c r="N28" s="66"/>
      <c r="O28" s="89"/>
      <c r="P28" s="89"/>
      <c r="Q28" s="89"/>
      <c r="R28" s="90"/>
      <c r="S28" s="91"/>
      <c r="T28" s="92"/>
      <c r="U28" s="93"/>
      <c r="V28" s="94"/>
      <c r="W28" s="94"/>
      <c r="X28" s="95" t="s">
        <v>218</v>
      </c>
    </row>
    <row r="29" spans="1:24" s="63" customFormat="1" ht="15.75" customHeight="1">
      <c r="A29" s="87"/>
      <c r="B29" s="89"/>
      <c r="C29" s="66"/>
      <c r="D29" s="66"/>
      <c r="E29" s="66"/>
      <c r="F29" s="66"/>
      <c r="G29" s="66"/>
      <c r="H29" s="66"/>
      <c r="I29" s="66"/>
      <c r="J29" s="66"/>
      <c r="K29" s="67"/>
      <c r="L29" s="88"/>
      <c r="M29" s="69"/>
      <c r="N29" s="66"/>
      <c r="O29" s="89"/>
      <c r="P29" s="89"/>
      <c r="Q29" s="89"/>
      <c r="R29" s="90"/>
      <c r="S29" s="91"/>
      <c r="T29" s="92"/>
      <c r="U29" s="93"/>
      <c r="V29" s="94"/>
      <c r="W29" s="94"/>
      <c r="X29" s="79" t="s">
        <v>92</v>
      </c>
    </row>
    <row r="30" spans="1:24" s="63" customFormat="1" ht="15.75" customHeight="1">
      <c r="A30" s="87"/>
      <c r="B30" s="96"/>
      <c r="C30" s="89"/>
      <c r="D30" s="89"/>
      <c r="E30" s="89"/>
      <c r="F30" s="89"/>
      <c r="G30" s="89"/>
      <c r="H30" s="89"/>
      <c r="I30" s="89"/>
      <c r="J30" s="89"/>
      <c r="K30" s="90"/>
      <c r="L30" s="97"/>
      <c r="M30" s="98"/>
      <c r="N30" s="89"/>
      <c r="O30" s="89"/>
      <c r="P30" s="99"/>
      <c r="Q30" s="89"/>
      <c r="R30" s="90"/>
      <c r="S30" s="70"/>
      <c r="T30" s="89"/>
      <c r="U30" s="93"/>
      <c r="V30" s="94"/>
      <c r="W30" s="94"/>
      <c r="X30" s="83" t="s">
        <v>159</v>
      </c>
    </row>
    <row r="31" spans="1:24" s="63" customFormat="1" ht="15.75" customHeight="1">
      <c r="A31" s="75"/>
      <c r="B31" s="66"/>
      <c r="C31" s="66"/>
      <c r="D31" s="66"/>
      <c r="E31" s="66"/>
      <c r="F31" s="66"/>
      <c r="G31" s="66"/>
      <c r="H31" s="66"/>
      <c r="I31" s="66"/>
      <c r="J31" s="66"/>
      <c r="K31" s="67"/>
      <c r="L31" s="68"/>
      <c r="M31" s="69"/>
      <c r="N31" s="66"/>
      <c r="O31" s="66"/>
      <c r="P31" s="66"/>
      <c r="Q31" s="66"/>
      <c r="R31" s="67"/>
      <c r="S31" s="70"/>
      <c r="T31" s="71"/>
      <c r="U31" s="72"/>
      <c r="V31" s="73"/>
      <c r="W31" s="73"/>
      <c r="X31" s="84" t="s">
        <v>94</v>
      </c>
    </row>
    <row r="32" spans="1:24" s="63" customFormat="1" ht="15.75" customHeight="1">
      <c r="A32" s="75"/>
      <c r="B32" s="66"/>
      <c r="C32" s="66"/>
      <c r="D32" s="66"/>
      <c r="E32" s="66"/>
      <c r="F32" s="66"/>
      <c r="G32" s="66"/>
      <c r="H32" s="66"/>
      <c r="I32" s="66"/>
      <c r="J32" s="66"/>
      <c r="K32" s="67"/>
      <c r="L32" s="68"/>
      <c r="M32" s="69"/>
      <c r="N32" s="66"/>
      <c r="O32" s="66"/>
      <c r="P32" s="66"/>
      <c r="Q32" s="66"/>
      <c r="R32" s="67"/>
      <c r="S32" s="70"/>
      <c r="T32" s="71"/>
      <c r="U32" s="72"/>
      <c r="V32" s="73"/>
      <c r="W32" s="73"/>
      <c r="X32" s="79" t="s">
        <v>96</v>
      </c>
    </row>
    <row r="33" spans="1:24" s="63" customFormat="1" ht="15.75" customHeight="1">
      <c r="A33" s="75"/>
      <c r="B33" s="66"/>
      <c r="C33" s="66"/>
      <c r="D33" s="66"/>
      <c r="E33" s="66"/>
      <c r="F33" s="66"/>
      <c r="G33" s="66"/>
      <c r="H33" s="66"/>
      <c r="I33" s="66"/>
      <c r="J33" s="66"/>
      <c r="K33" s="67"/>
      <c r="L33" s="68"/>
      <c r="M33" s="69"/>
      <c r="N33" s="66"/>
      <c r="O33" s="66"/>
      <c r="P33" s="66"/>
      <c r="Q33" s="66"/>
      <c r="R33" s="67"/>
      <c r="S33" s="70"/>
      <c r="T33" s="71"/>
      <c r="U33" s="72"/>
      <c r="V33" s="73"/>
      <c r="W33" s="73"/>
      <c r="X33" s="84" t="s">
        <v>97</v>
      </c>
    </row>
    <row r="34" spans="1:24" s="63" customFormat="1" ht="15.75" customHeight="1">
      <c r="A34" s="75"/>
      <c r="B34" s="66"/>
      <c r="C34" s="66"/>
      <c r="D34" s="66"/>
      <c r="E34" s="66"/>
      <c r="F34" s="66"/>
      <c r="G34" s="66"/>
      <c r="H34" s="66"/>
      <c r="I34" s="66"/>
      <c r="J34" s="66"/>
      <c r="K34" s="67"/>
      <c r="L34" s="68"/>
      <c r="M34" s="69"/>
      <c r="N34" s="66"/>
      <c r="O34" s="66"/>
      <c r="P34" s="66"/>
      <c r="Q34" s="66"/>
      <c r="R34" s="67"/>
      <c r="S34" s="70"/>
      <c r="T34" s="71"/>
      <c r="U34" s="72"/>
      <c r="V34" s="73"/>
      <c r="W34" s="73"/>
      <c r="X34" s="83" t="s">
        <v>98</v>
      </c>
    </row>
    <row r="35" spans="1:24" s="63" customFormat="1" ht="15.75" customHeight="1">
      <c r="A35" s="75"/>
      <c r="B35" s="66"/>
      <c r="C35" s="66"/>
      <c r="D35" s="66"/>
      <c r="E35" s="66"/>
      <c r="F35" s="66"/>
      <c r="G35" s="66"/>
      <c r="H35" s="66"/>
      <c r="I35" s="66"/>
      <c r="J35" s="66"/>
      <c r="K35" s="67"/>
      <c r="L35" s="68"/>
      <c r="M35" s="69"/>
      <c r="N35" s="66"/>
      <c r="O35" s="66"/>
      <c r="P35" s="66"/>
      <c r="Q35" s="66"/>
      <c r="R35" s="67"/>
      <c r="S35" s="70"/>
      <c r="T35" s="71"/>
      <c r="U35" s="72"/>
      <c r="V35" s="73"/>
      <c r="W35" s="73"/>
      <c r="X35" s="84"/>
    </row>
    <row r="36" spans="1:24" s="63" customFormat="1" ht="15.75" customHeight="1">
      <c r="A36" s="75"/>
      <c r="B36" s="66"/>
      <c r="C36" s="66"/>
      <c r="D36" s="66"/>
      <c r="E36" s="66"/>
      <c r="F36" s="66"/>
      <c r="G36" s="66"/>
      <c r="H36" s="66"/>
      <c r="I36" s="66"/>
      <c r="J36" s="66"/>
      <c r="K36" s="67"/>
      <c r="L36" s="68"/>
      <c r="M36" s="69"/>
      <c r="N36" s="66"/>
      <c r="O36" s="66"/>
      <c r="P36" s="66"/>
      <c r="Q36" s="66"/>
      <c r="R36" s="67"/>
      <c r="S36" s="70"/>
      <c r="T36" s="71"/>
      <c r="U36" s="72"/>
      <c r="V36" s="73"/>
      <c r="W36" s="73"/>
      <c r="X36" s="84"/>
    </row>
    <row r="37" spans="1:24" s="63" customFormat="1" ht="15.75" customHeight="1">
      <c r="A37" s="75" t="s">
        <v>45</v>
      </c>
      <c r="B37" s="76" t="s">
        <v>179</v>
      </c>
      <c r="C37" s="66">
        <v>5</v>
      </c>
      <c r="D37" s="66">
        <v>8</v>
      </c>
      <c r="E37" s="66">
        <v>7</v>
      </c>
      <c r="F37" s="66">
        <v>4</v>
      </c>
      <c r="G37" s="66">
        <v>3</v>
      </c>
      <c r="H37" s="66">
        <v>3</v>
      </c>
      <c r="I37" s="66">
        <v>8</v>
      </c>
      <c r="J37" s="66">
        <v>5</v>
      </c>
      <c r="K37" s="67">
        <v>10</v>
      </c>
      <c r="L37" s="68"/>
      <c r="M37" s="69"/>
      <c r="N37" s="66"/>
      <c r="O37" s="66">
        <v>1</v>
      </c>
      <c r="P37" s="66" t="s">
        <v>179</v>
      </c>
      <c r="Q37" s="66" t="s">
        <v>179</v>
      </c>
      <c r="R37" s="66">
        <v>1</v>
      </c>
      <c r="S37" s="70" t="str">
        <f>VLOOKUP(T37,RW,$Z$259,FALSE)</f>
        <v>6+</v>
      </c>
      <c r="T37" s="78">
        <f>VLOOKUP(Q37,Ruestung2,$Z$251,FALSE)+IF(R37=1,1,0)</f>
        <v>1</v>
      </c>
      <c r="U37" s="72" t="s">
        <v>122</v>
      </c>
      <c r="V37" s="73"/>
      <c r="W37" s="73">
        <f>IF(B37="-",0,B37)*(260)</f>
        <v>0</v>
      </c>
      <c r="X37" s="79" t="s">
        <v>23</v>
      </c>
    </row>
    <row r="38" spans="1:24" s="63" customFormat="1" ht="15.75" customHeight="1">
      <c r="A38" s="75"/>
      <c r="B38" s="66"/>
      <c r="C38" s="66"/>
      <c r="D38" s="66"/>
      <c r="E38" s="66"/>
      <c r="F38" s="66"/>
      <c r="G38" s="66"/>
      <c r="H38" s="66"/>
      <c r="I38" s="66"/>
      <c r="J38" s="66"/>
      <c r="K38" s="67"/>
      <c r="L38" s="68"/>
      <c r="M38" s="69"/>
      <c r="N38" s="66"/>
      <c r="O38" s="66"/>
      <c r="P38" s="66"/>
      <c r="Q38" s="66"/>
      <c r="R38" s="67"/>
      <c r="S38" s="70"/>
      <c r="T38" s="66"/>
      <c r="U38" s="72"/>
      <c r="V38" s="73"/>
      <c r="W38" s="73"/>
      <c r="X38" s="79" t="s">
        <v>24</v>
      </c>
    </row>
    <row r="39" spans="1:24" s="63" customFormat="1" ht="15.75" customHeight="1">
      <c r="A39" s="75"/>
      <c r="B39" s="66"/>
      <c r="C39" s="66"/>
      <c r="D39" s="66"/>
      <c r="E39" s="66"/>
      <c r="F39" s="66"/>
      <c r="G39" s="66"/>
      <c r="H39" s="66"/>
      <c r="I39" s="66"/>
      <c r="J39" s="66"/>
      <c r="K39" s="67"/>
      <c r="L39" s="68"/>
      <c r="M39" s="69"/>
      <c r="N39" s="66"/>
      <c r="O39" s="66"/>
      <c r="P39" s="66"/>
      <c r="Q39" s="66"/>
      <c r="R39" s="67"/>
      <c r="S39" s="70"/>
      <c r="T39" s="71"/>
      <c r="U39" s="72"/>
      <c r="V39" s="73"/>
      <c r="W39" s="73"/>
      <c r="X39" s="79" t="s">
        <v>296</v>
      </c>
    </row>
    <row r="40" spans="1:24" s="63" customFormat="1" ht="15.75" customHeight="1">
      <c r="A40" s="75"/>
      <c r="B40" s="66"/>
      <c r="C40" s="66"/>
      <c r="D40" s="66"/>
      <c r="E40" s="66"/>
      <c r="F40" s="66"/>
      <c r="G40" s="66"/>
      <c r="H40" s="66"/>
      <c r="I40" s="66"/>
      <c r="J40" s="66"/>
      <c r="K40" s="67"/>
      <c r="L40" s="68"/>
      <c r="M40" s="69"/>
      <c r="N40" s="66"/>
      <c r="O40" s="66"/>
      <c r="P40" s="66"/>
      <c r="Q40" s="66"/>
      <c r="R40" s="67"/>
      <c r="S40" s="70"/>
      <c r="T40" s="71"/>
      <c r="U40" s="72"/>
      <c r="V40" s="73"/>
      <c r="W40" s="73"/>
      <c r="X40" s="84" t="s">
        <v>25</v>
      </c>
    </row>
    <row r="41" spans="1:24" s="63" customFormat="1" ht="15.75" customHeight="1">
      <c r="A41" s="75"/>
      <c r="B41" s="66"/>
      <c r="C41" s="66"/>
      <c r="D41" s="66"/>
      <c r="E41" s="66"/>
      <c r="F41" s="66"/>
      <c r="G41" s="66"/>
      <c r="H41" s="66"/>
      <c r="I41" s="66"/>
      <c r="J41" s="66"/>
      <c r="K41" s="67"/>
      <c r="L41" s="68"/>
      <c r="M41" s="69"/>
      <c r="N41" s="66"/>
      <c r="O41" s="66"/>
      <c r="P41" s="66"/>
      <c r="Q41" s="66"/>
      <c r="R41" s="67"/>
      <c r="S41" s="70"/>
      <c r="T41" s="71"/>
      <c r="U41" s="72"/>
      <c r="V41" s="73"/>
      <c r="W41" s="73"/>
      <c r="X41" s="84" t="s">
        <v>26</v>
      </c>
    </row>
    <row r="42" spans="1:24" s="63" customFormat="1" ht="15.75" customHeight="1">
      <c r="A42" s="75"/>
      <c r="B42" s="66"/>
      <c r="C42" s="66"/>
      <c r="D42" s="66"/>
      <c r="E42" s="66"/>
      <c r="F42" s="66"/>
      <c r="G42" s="66"/>
      <c r="H42" s="66"/>
      <c r="I42" s="66"/>
      <c r="J42" s="66"/>
      <c r="K42" s="67"/>
      <c r="L42" s="68"/>
      <c r="M42" s="69"/>
      <c r="N42" s="66"/>
      <c r="O42" s="66"/>
      <c r="P42" s="66"/>
      <c r="Q42" s="66"/>
      <c r="R42" s="67"/>
      <c r="S42" s="70"/>
      <c r="T42" s="71"/>
      <c r="U42" s="72"/>
      <c r="V42" s="73"/>
      <c r="W42" s="73"/>
      <c r="X42" s="100" t="s">
        <v>27</v>
      </c>
    </row>
    <row r="43" spans="1:24" s="63" customFormat="1" ht="15.75" customHeight="1">
      <c r="A43" s="75"/>
      <c r="B43" s="66"/>
      <c r="C43" s="66"/>
      <c r="D43" s="66"/>
      <c r="E43" s="66"/>
      <c r="F43" s="66"/>
      <c r="G43" s="66"/>
      <c r="H43" s="66"/>
      <c r="I43" s="66"/>
      <c r="J43" s="66"/>
      <c r="K43" s="67"/>
      <c r="L43" s="68"/>
      <c r="M43" s="69"/>
      <c r="N43" s="66"/>
      <c r="O43" s="66"/>
      <c r="P43" s="66"/>
      <c r="Q43" s="66"/>
      <c r="R43" s="67"/>
      <c r="S43" s="70"/>
      <c r="T43" s="71"/>
      <c r="U43" s="72"/>
      <c r="V43" s="73"/>
      <c r="W43" s="73"/>
      <c r="X43" s="84"/>
    </row>
    <row r="44" spans="1:24" s="63" customFormat="1" ht="15.75" customHeight="1">
      <c r="A44" s="75"/>
      <c r="B44" s="66"/>
      <c r="C44" s="66"/>
      <c r="D44" s="66"/>
      <c r="E44" s="66"/>
      <c r="F44" s="66"/>
      <c r="G44" s="66"/>
      <c r="H44" s="66"/>
      <c r="I44" s="66"/>
      <c r="J44" s="66"/>
      <c r="K44" s="67"/>
      <c r="L44" s="68"/>
      <c r="M44" s="69"/>
      <c r="N44" s="66"/>
      <c r="O44" s="66"/>
      <c r="P44" s="66"/>
      <c r="Q44" s="66"/>
      <c r="R44" s="67"/>
      <c r="S44" s="91"/>
      <c r="T44" s="66"/>
      <c r="U44" s="72"/>
      <c r="V44" s="73"/>
      <c r="W44" s="73"/>
      <c r="X44" s="74"/>
    </row>
    <row r="45" spans="1:33" s="63" customFormat="1" ht="15.75" customHeight="1">
      <c r="A45" s="65" t="s">
        <v>66</v>
      </c>
      <c r="B45" s="76" t="s">
        <v>179</v>
      </c>
      <c r="C45" s="66">
        <v>5</v>
      </c>
      <c r="D45" s="66">
        <v>7</v>
      </c>
      <c r="E45" s="66">
        <v>7</v>
      </c>
      <c r="F45" s="66">
        <v>4</v>
      </c>
      <c r="G45" s="66">
        <v>3</v>
      </c>
      <c r="H45" s="66">
        <v>3</v>
      </c>
      <c r="I45" s="66">
        <v>8</v>
      </c>
      <c r="J45" s="66">
        <v>4</v>
      </c>
      <c r="K45" s="67">
        <v>10</v>
      </c>
      <c r="L45" s="68"/>
      <c r="M45" s="69"/>
      <c r="N45" s="66"/>
      <c r="O45" s="76">
        <v>1</v>
      </c>
      <c r="P45" s="76" t="s">
        <v>179</v>
      </c>
      <c r="Q45" s="66" t="s">
        <v>198</v>
      </c>
      <c r="R45" s="101" t="s">
        <v>179</v>
      </c>
      <c r="S45" s="70" t="str">
        <f>VLOOKUP(T45,RW,$Z$259,FALSE)</f>
        <v>6+</v>
      </c>
      <c r="T45" s="78">
        <f>VLOOKUP(Q45,Ruestung2,$Z$251,FALSE)+IF(R45=1,1,0)</f>
        <v>1</v>
      </c>
      <c r="U45" s="72"/>
      <c r="V45" s="102" t="s">
        <v>179</v>
      </c>
      <c r="W45" s="73">
        <f>IF(B45="-",0,B45)*(145+IF(V45="-",0,V45)+IF(P45=1,6,0)+IF(O45=2,3,0)+IF(R45=1,3,0)+VLOOKUP(X48,Waffen,$Y$335,FALSE)+VLOOKUP(X49,Pfeile,$Z$324,FALSE))</f>
        <v>0</v>
      </c>
      <c r="X45" s="79" t="s">
        <v>262</v>
      </c>
      <c r="AC45" s="103"/>
      <c r="AD45" s="103"/>
      <c r="AE45" s="103"/>
      <c r="AF45" s="103"/>
      <c r="AG45" s="103"/>
    </row>
    <row r="46" spans="1:24" s="63" customFormat="1" ht="15.75" customHeight="1">
      <c r="A46" s="75"/>
      <c r="B46" s="66"/>
      <c r="C46" s="66"/>
      <c r="D46" s="66"/>
      <c r="E46" s="66"/>
      <c r="F46" s="66"/>
      <c r="G46" s="66"/>
      <c r="H46" s="66"/>
      <c r="I46" s="66"/>
      <c r="J46" s="66"/>
      <c r="K46" s="67"/>
      <c r="L46" s="68"/>
      <c r="M46" s="69"/>
      <c r="N46" s="66"/>
      <c r="O46" s="66"/>
      <c r="P46" s="66"/>
      <c r="Q46" s="66"/>
      <c r="R46" s="67"/>
      <c r="S46" s="70"/>
      <c r="T46" s="66"/>
      <c r="U46" s="72"/>
      <c r="V46" s="73"/>
      <c r="W46" s="73"/>
      <c r="X46" s="84" t="s">
        <v>263</v>
      </c>
    </row>
    <row r="47" spans="1:24" s="63" customFormat="1" ht="15.75" customHeight="1">
      <c r="A47" s="75"/>
      <c r="B47" s="66"/>
      <c r="C47" s="66"/>
      <c r="D47" s="66"/>
      <c r="E47" s="66"/>
      <c r="F47" s="66"/>
      <c r="G47" s="66"/>
      <c r="H47" s="66"/>
      <c r="I47" s="66"/>
      <c r="J47" s="66"/>
      <c r="K47" s="67"/>
      <c r="L47" s="68"/>
      <c r="M47" s="69"/>
      <c r="N47" s="66"/>
      <c r="O47" s="66"/>
      <c r="P47" s="66"/>
      <c r="Q47" s="66"/>
      <c r="R47" s="67"/>
      <c r="S47" s="70"/>
      <c r="T47" s="66"/>
      <c r="U47" s="72"/>
      <c r="V47" s="73"/>
      <c r="W47" s="73"/>
      <c r="X47" s="79" t="s">
        <v>220</v>
      </c>
    </row>
    <row r="48" spans="1:24" s="63" customFormat="1" ht="15.75" customHeight="1">
      <c r="A48" s="75"/>
      <c r="B48" s="66"/>
      <c r="C48" s="66"/>
      <c r="D48" s="66"/>
      <c r="E48" s="66"/>
      <c r="F48" s="66"/>
      <c r="G48" s="66"/>
      <c r="H48" s="66"/>
      <c r="I48" s="66"/>
      <c r="J48" s="66"/>
      <c r="K48" s="67"/>
      <c r="L48" s="68"/>
      <c r="M48" s="69"/>
      <c r="N48" s="66"/>
      <c r="O48" s="66"/>
      <c r="P48" s="66"/>
      <c r="Q48" s="66"/>
      <c r="R48" s="67"/>
      <c r="S48" s="70"/>
      <c r="T48" s="66"/>
      <c r="U48" s="72"/>
      <c r="V48" s="73"/>
      <c r="W48" s="73"/>
      <c r="X48" s="104" t="s">
        <v>152</v>
      </c>
    </row>
    <row r="49" spans="1:24" s="63" customFormat="1" ht="15.75" customHeight="1">
      <c r="A49" s="105"/>
      <c r="B49" s="66"/>
      <c r="C49" s="66"/>
      <c r="D49" s="66"/>
      <c r="E49" s="66"/>
      <c r="F49" s="66"/>
      <c r="G49" s="66"/>
      <c r="H49" s="66"/>
      <c r="I49" s="66"/>
      <c r="J49" s="66"/>
      <c r="K49" s="67"/>
      <c r="L49" s="68"/>
      <c r="M49" s="69"/>
      <c r="N49" s="66"/>
      <c r="O49" s="66"/>
      <c r="P49" s="66"/>
      <c r="Q49" s="66"/>
      <c r="R49" s="67"/>
      <c r="S49" s="70"/>
      <c r="T49" s="66"/>
      <c r="U49" s="72"/>
      <c r="V49" s="73"/>
      <c r="W49" s="73"/>
      <c r="X49" s="104" t="s">
        <v>305</v>
      </c>
    </row>
    <row r="50" spans="1:24" s="63" customFormat="1" ht="15.75" customHeight="1">
      <c r="A50" s="105"/>
      <c r="B50" s="66"/>
      <c r="C50" s="66"/>
      <c r="D50" s="66"/>
      <c r="E50" s="66"/>
      <c r="F50" s="66"/>
      <c r="G50" s="66"/>
      <c r="H50" s="66"/>
      <c r="I50" s="66"/>
      <c r="J50" s="66"/>
      <c r="K50" s="67"/>
      <c r="L50" s="68"/>
      <c r="M50" s="69"/>
      <c r="N50" s="66"/>
      <c r="O50" s="66"/>
      <c r="P50" s="66"/>
      <c r="Q50" s="66"/>
      <c r="R50" s="67"/>
      <c r="S50" s="70"/>
      <c r="T50" s="66"/>
      <c r="U50" s="72"/>
      <c r="V50" s="73"/>
      <c r="W50" s="73"/>
      <c r="X50" s="104" t="str">
        <f>VLOOKUP(X49,Pfeile,$Y$324,FALSE)</f>
        <v>-</v>
      </c>
    </row>
    <row r="51" spans="1:24" s="63" customFormat="1" ht="15.75" customHeight="1">
      <c r="A51" s="65" t="s">
        <v>139</v>
      </c>
      <c r="B51" s="76">
        <v>1</v>
      </c>
      <c r="C51" s="66" t="str">
        <f>VLOOKUP($A51,Mount,$Z$308,FALSE)</f>
        <v>-</v>
      </c>
      <c r="D51" s="66" t="str">
        <f>VLOOKUP($A51,Mount,$AA$308,FALSE)</f>
        <v>-</v>
      </c>
      <c r="E51" s="66" t="str">
        <f>VLOOKUP($A51,Mount,$AB$308,FALSE)</f>
        <v>-</v>
      </c>
      <c r="F51" s="66" t="str">
        <f>VLOOKUP($A51,Mount,$AC$308,FALSE)</f>
        <v>-</v>
      </c>
      <c r="G51" s="66" t="str">
        <f>VLOOKUP($A51,Mount,$AD$308,FALSE)</f>
        <v>-</v>
      </c>
      <c r="H51" s="66" t="str">
        <f>VLOOKUP($A51,Mount,$AE$308,FALSE)</f>
        <v>-</v>
      </c>
      <c r="I51" s="66" t="str">
        <f>VLOOKUP($A51,Mount,$AF$308,FALSE)</f>
        <v>-</v>
      </c>
      <c r="J51" s="66" t="str">
        <f>VLOOKUP($A51,Mount,$AG$308,FALSE)</f>
        <v>-</v>
      </c>
      <c r="K51" s="67" t="str">
        <f>VLOOKUP($A51,Mount,$AH$308,FALSE)</f>
        <v>-</v>
      </c>
      <c r="L51" s="68"/>
      <c r="M51" s="69"/>
      <c r="N51" s="66"/>
      <c r="O51" s="66">
        <v>1</v>
      </c>
      <c r="P51" s="66" t="s">
        <v>179</v>
      </c>
      <c r="Q51" s="66" t="s">
        <v>179</v>
      </c>
      <c r="R51" s="67" t="s">
        <v>179</v>
      </c>
      <c r="S51" s="70" t="str">
        <f>VLOOKUP($A51,Mount,$AI$308,FALSE)</f>
        <v>-</v>
      </c>
      <c r="T51" s="66"/>
      <c r="U51" s="72" t="str">
        <f>VLOOKUP($A51,Mount,$AJ$308,FALSE)</f>
        <v>-</v>
      </c>
      <c r="V51" s="73"/>
      <c r="W51" s="73">
        <f>IF(B51="-",0,B51*VLOOKUP($A51,Mount,$AO$308,FALSE))</f>
        <v>0</v>
      </c>
      <c r="X51" s="104" t="str">
        <f>VLOOKUP($A51,Mount,$AK$308,FALSE)</f>
        <v>-</v>
      </c>
    </row>
    <row r="52" spans="1:24" s="63" customFormat="1" ht="15.75" customHeight="1">
      <c r="A52" s="105"/>
      <c r="B52" s="66"/>
      <c r="C52" s="66"/>
      <c r="D52" s="66"/>
      <c r="E52" s="66"/>
      <c r="F52" s="66"/>
      <c r="G52" s="66"/>
      <c r="H52" s="66"/>
      <c r="I52" s="66"/>
      <c r="J52" s="66"/>
      <c r="K52" s="67"/>
      <c r="L52" s="68"/>
      <c r="M52" s="69"/>
      <c r="N52" s="66"/>
      <c r="O52" s="66"/>
      <c r="P52" s="66"/>
      <c r="Q52" s="66"/>
      <c r="R52" s="67"/>
      <c r="S52" s="70"/>
      <c r="T52" s="66"/>
      <c r="U52" s="72"/>
      <c r="V52" s="73"/>
      <c r="W52" s="73"/>
      <c r="X52" s="104" t="str">
        <f>VLOOKUP($A51,Mount,$AL$308,FALSE)</f>
        <v>-</v>
      </c>
    </row>
    <row r="53" spans="1:24" s="63" customFormat="1" ht="15.75" customHeight="1">
      <c r="A53" s="105"/>
      <c r="B53" s="66"/>
      <c r="C53" s="66"/>
      <c r="D53" s="66"/>
      <c r="E53" s="66"/>
      <c r="F53" s="66"/>
      <c r="G53" s="66"/>
      <c r="H53" s="66"/>
      <c r="I53" s="66"/>
      <c r="J53" s="66"/>
      <c r="K53" s="67"/>
      <c r="L53" s="68"/>
      <c r="M53" s="69"/>
      <c r="N53" s="66"/>
      <c r="O53" s="66"/>
      <c r="P53" s="66"/>
      <c r="Q53" s="66"/>
      <c r="R53" s="67"/>
      <c r="S53" s="70"/>
      <c r="T53" s="66"/>
      <c r="U53" s="72"/>
      <c r="V53" s="73"/>
      <c r="W53" s="73"/>
      <c r="X53" s="104" t="str">
        <f>VLOOKUP($A51,Mount,$AM$308,FALSE)</f>
        <v>-</v>
      </c>
    </row>
    <row r="54" spans="1:24" s="63" customFormat="1" ht="15.75" customHeight="1">
      <c r="A54" s="105"/>
      <c r="B54" s="66"/>
      <c r="C54" s="66"/>
      <c r="D54" s="66"/>
      <c r="E54" s="66"/>
      <c r="F54" s="66"/>
      <c r="G54" s="66"/>
      <c r="H54" s="66"/>
      <c r="I54" s="66"/>
      <c r="J54" s="66"/>
      <c r="K54" s="67"/>
      <c r="L54" s="68"/>
      <c r="M54" s="69"/>
      <c r="N54" s="66"/>
      <c r="O54" s="66"/>
      <c r="P54" s="66"/>
      <c r="Q54" s="66"/>
      <c r="R54" s="67"/>
      <c r="S54" s="70"/>
      <c r="T54" s="66"/>
      <c r="U54" s="72"/>
      <c r="V54" s="73"/>
      <c r="W54" s="73"/>
      <c r="X54" s="104" t="str">
        <f>VLOOKUP($A51,Mount,$AN$308,FALSE)</f>
        <v>-</v>
      </c>
    </row>
    <row r="55" spans="1:24" s="63" customFormat="1" ht="15.75" customHeight="1">
      <c r="A55" s="65"/>
      <c r="B55" s="66"/>
      <c r="C55" s="66"/>
      <c r="D55" s="66"/>
      <c r="E55" s="66"/>
      <c r="F55" s="66"/>
      <c r="G55" s="66"/>
      <c r="H55" s="66"/>
      <c r="I55" s="66"/>
      <c r="J55" s="66"/>
      <c r="K55" s="67"/>
      <c r="L55" s="68"/>
      <c r="M55" s="69"/>
      <c r="N55" s="66"/>
      <c r="O55" s="66"/>
      <c r="P55" s="66"/>
      <c r="Q55" s="66"/>
      <c r="R55" s="67"/>
      <c r="S55" s="70"/>
      <c r="T55" s="66"/>
      <c r="U55" s="72"/>
      <c r="V55" s="73"/>
      <c r="W55" s="73"/>
      <c r="X55" s="79"/>
    </row>
    <row r="56" spans="1:24" s="63" customFormat="1" ht="15.75" customHeight="1">
      <c r="A56" s="75"/>
      <c r="B56" s="66"/>
      <c r="C56" s="66"/>
      <c r="D56" s="66"/>
      <c r="E56" s="66"/>
      <c r="F56" s="66"/>
      <c r="G56" s="66"/>
      <c r="H56" s="66"/>
      <c r="I56" s="66"/>
      <c r="J56" s="66"/>
      <c r="K56" s="67"/>
      <c r="L56" s="68"/>
      <c r="M56" s="69"/>
      <c r="N56" s="66"/>
      <c r="O56" s="66"/>
      <c r="P56" s="66"/>
      <c r="Q56" s="66"/>
      <c r="R56" s="67"/>
      <c r="S56" s="70"/>
      <c r="T56" s="66"/>
      <c r="U56" s="72"/>
      <c r="V56" s="73"/>
      <c r="W56" s="73"/>
      <c r="X56" s="79"/>
    </row>
    <row r="57" spans="1:24" s="63" customFormat="1" ht="15.75" customHeight="1">
      <c r="A57" s="75" t="s">
        <v>82</v>
      </c>
      <c r="B57" s="76" t="s">
        <v>179</v>
      </c>
      <c r="C57" s="66">
        <v>5</v>
      </c>
      <c r="D57" s="66">
        <v>4</v>
      </c>
      <c r="E57" s="66">
        <v>4</v>
      </c>
      <c r="F57" s="66">
        <v>3</v>
      </c>
      <c r="G57" s="66">
        <v>3</v>
      </c>
      <c r="H57" s="66">
        <v>3</v>
      </c>
      <c r="I57" s="66">
        <v>5</v>
      </c>
      <c r="J57" s="66">
        <v>1</v>
      </c>
      <c r="K57" s="67">
        <v>9</v>
      </c>
      <c r="L57" s="68"/>
      <c r="M57" s="69"/>
      <c r="N57" s="66"/>
      <c r="O57" s="66">
        <v>1</v>
      </c>
      <c r="P57" s="66" t="s">
        <v>179</v>
      </c>
      <c r="Q57" s="66" t="s">
        <v>179</v>
      </c>
      <c r="R57" s="66" t="s">
        <v>179</v>
      </c>
      <c r="S57" s="70" t="str">
        <f>VLOOKUP(T57,RW,$Z$259,FALSE)</f>
        <v>-</v>
      </c>
      <c r="T57" s="78">
        <f>VLOOKUP(Q57,Ruestung,$Z$251,FALSE)+IF(R57=1,1,0)</f>
        <v>0</v>
      </c>
      <c r="U57" s="72"/>
      <c r="V57" s="102" t="s">
        <v>179</v>
      </c>
      <c r="W57" s="73">
        <f>IF(B57="-",0,B57)*(185+IF(B58=4,35,0)+IF(V57="-",0,V57)+VLOOKUP(X59,Waffen,$Y$335,FALSE))</f>
        <v>0</v>
      </c>
      <c r="X57" s="79" t="s">
        <v>265</v>
      </c>
    </row>
    <row r="58" spans="1:24" s="63" customFormat="1" ht="15.75" customHeight="1">
      <c r="A58" s="75" t="s">
        <v>249</v>
      </c>
      <c r="B58" s="76">
        <v>3</v>
      </c>
      <c r="C58" s="66"/>
      <c r="D58" s="66"/>
      <c r="E58" s="66"/>
      <c r="F58" s="66"/>
      <c r="G58" s="66"/>
      <c r="H58" s="66"/>
      <c r="I58" s="66"/>
      <c r="J58" s="66"/>
      <c r="K58" s="67"/>
      <c r="L58" s="68"/>
      <c r="M58" s="69"/>
      <c r="N58" s="66"/>
      <c r="O58" s="66"/>
      <c r="P58" s="106"/>
      <c r="Q58" s="66"/>
      <c r="R58" s="67"/>
      <c r="S58" s="107"/>
      <c r="T58" s="66"/>
      <c r="U58" s="72"/>
      <c r="V58" s="73"/>
      <c r="W58" s="73"/>
      <c r="X58" s="79" t="s">
        <v>92</v>
      </c>
    </row>
    <row r="59" spans="1:24" s="63" customFormat="1" ht="15.75" customHeight="1">
      <c r="A59" s="87"/>
      <c r="B59" s="89"/>
      <c r="C59" s="89"/>
      <c r="D59" s="89"/>
      <c r="E59" s="89"/>
      <c r="F59" s="89"/>
      <c r="G59" s="89"/>
      <c r="H59" s="89"/>
      <c r="I59" s="89"/>
      <c r="J59" s="89"/>
      <c r="K59" s="90"/>
      <c r="L59" s="97"/>
      <c r="M59" s="98"/>
      <c r="N59" s="89"/>
      <c r="O59" s="89"/>
      <c r="P59" s="99"/>
      <c r="Q59" s="89"/>
      <c r="R59" s="90"/>
      <c r="S59" s="107"/>
      <c r="T59" s="89"/>
      <c r="U59" s="93"/>
      <c r="V59" s="94"/>
      <c r="W59" s="94"/>
      <c r="X59" s="104" t="s">
        <v>152</v>
      </c>
    </row>
    <row r="60" spans="1:24" s="63" customFormat="1" ht="15.75" customHeight="1">
      <c r="A60" s="65" t="s">
        <v>139</v>
      </c>
      <c r="B60" s="76">
        <v>1</v>
      </c>
      <c r="C60" s="66" t="str">
        <f>VLOOKUP($A60,Mount,$Z$308,FALSE)</f>
        <v>-</v>
      </c>
      <c r="D60" s="66" t="str">
        <f>VLOOKUP($A60,Mount,$AA$308,FALSE)</f>
        <v>-</v>
      </c>
      <c r="E60" s="66" t="str">
        <f>VLOOKUP($A60,Mount,$AB$308,FALSE)</f>
        <v>-</v>
      </c>
      <c r="F60" s="66" t="str">
        <f>VLOOKUP($A60,Mount,$AC$308,FALSE)</f>
        <v>-</v>
      </c>
      <c r="G60" s="66" t="str">
        <f>VLOOKUP($A60,Mount,$AD$308,FALSE)</f>
        <v>-</v>
      </c>
      <c r="H60" s="66" t="str">
        <f>VLOOKUP($A60,Mount,$AE$308,FALSE)</f>
        <v>-</v>
      </c>
      <c r="I60" s="66" t="str">
        <f>VLOOKUP($A60,Mount,$AF$308,FALSE)</f>
        <v>-</v>
      </c>
      <c r="J60" s="66" t="str">
        <f>VLOOKUP($A60,Mount,$AG$308,FALSE)</f>
        <v>-</v>
      </c>
      <c r="K60" s="67" t="str">
        <f>VLOOKUP($A60,Mount,$AH$308,FALSE)</f>
        <v>-</v>
      </c>
      <c r="L60" s="68"/>
      <c r="M60" s="69"/>
      <c r="N60" s="66"/>
      <c r="O60" s="66">
        <v>1</v>
      </c>
      <c r="P60" s="66" t="s">
        <v>179</v>
      </c>
      <c r="Q60" s="66" t="s">
        <v>179</v>
      </c>
      <c r="R60" s="67" t="s">
        <v>179</v>
      </c>
      <c r="S60" s="70" t="str">
        <f>VLOOKUP($A60,Mount,$AI$308,FALSE)</f>
        <v>-</v>
      </c>
      <c r="T60" s="66"/>
      <c r="U60" s="72" t="str">
        <f>VLOOKUP($A60,Mount,$AJ$308,FALSE)</f>
        <v>-</v>
      </c>
      <c r="V60" s="73"/>
      <c r="W60" s="73">
        <f>IF(B60="-",0,B60*VLOOKUP($A60,Mount,$AO$308,FALSE))</f>
        <v>0</v>
      </c>
      <c r="X60" s="104" t="str">
        <f>VLOOKUP($A60,Mount,$AK$308,FALSE)</f>
        <v>-</v>
      </c>
    </row>
    <row r="61" spans="1:24" s="63" customFormat="1" ht="15.75" customHeight="1">
      <c r="A61" s="105"/>
      <c r="B61" s="66"/>
      <c r="C61" s="66"/>
      <c r="D61" s="66"/>
      <c r="E61" s="66"/>
      <c r="F61" s="66"/>
      <c r="G61" s="66"/>
      <c r="H61" s="66"/>
      <c r="I61" s="66"/>
      <c r="J61" s="66"/>
      <c r="K61" s="67"/>
      <c r="L61" s="68"/>
      <c r="M61" s="69"/>
      <c r="N61" s="66"/>
      <c r="O61" s="66"/>
      <c r="P61" s="66"/>
      <c r="Q61" s="66"/>
      <c r="R61" s="67"/>
      <c r="S61" s="70"/>
      <c r="T61" s="66"/>
      <c r="U61" s="72"/>
      <c r="V61" s="73"/>
      <c r="W61" s="73"/>
      <c r="X61" s="104" t="str">
        <f>VLOOKUP($A60,Mount,$AL$308,FALSE)</f>
        <v>-</v>
      </c>
    </row>
    <row r="62" spans="1:24" s="63" customFormat="1" ht="15.75" customHeight="1">
      <c r="A62" s="105"/>
      <c r="B62" s="66"/>
      <c r="C62" s="66"/>
      <c r="D62" s="66"/>
      <c r="E62" s="66"/>
      <c r="F62" s="66"/>
      <c r="G62" s="66"/>
      <c r="H62" s="66"/>
      <c r="I62" s="66"/>
      <c r="J62" s="66"/>
      <c r="K62" s="67"/>
      <c r="L62" s="68"/>
      <c r="M62" s="69"/>
      <c r="N62" s="66"/>
      <c r="O62" s="66"/>
      <c r="P62" s="66"/>
      <c r="Q62" s="66"/>
      <c r="R62" s="67"/>
      <c r="S62" s="70"/>
      <c r="T62" s="66"/>
      <c r="U62" s="72"/>
      <c r="V62" s="73"/>
      <c r="W62" s="73"/>
      <c r="X62" s="104" t="str">
        <f>VLOOKUP($A60,Mount,$AM$308,FALSE)</f>
        <v>-</v>
      </c>
    </row>
    <row r="63" spans="1:24" s="63" customFormat="1" ht="15.75" customHeight="1">
      <c r="A63" s="108"/>
      <c r="B63" s="89"/>
      <c r="C63" s="89"/>
      <c r="D63" s="89"/>
      <c r="E63" s="89"/>
      <c r="F63" s="89"/>
      <c r="G63" s="89"/>
      <c r="H63" s="89"/>
      <c r="I63" s="89"/>
      <c r="J63" s="89"/>
      <c r="K63" s="90"/>
      <c r="L63" s="97"/>
      <c r="M63" s="98"/>
      <c r="N63" s="89"/>
      <c r="O63" s="89"/>
      <c r="P63" s="89"/>
      <c r="Q63" s="89"/>
      <c r="R63" s="90"/>
      <c r="S63" s="70"/>
      <c r="T63" s="89"/>
      <c r="U63" s="93"/>
      <c r="V63" s="94"/>
      <c r="W63" s="94"/>
      <c r="X63" s="109"/>
    </row>
    <row r="64" spans="1:24" s="63" customFormat="1" ht="15.75" customHeight="1">
      <c r="A64" s="87"/>
      <c r="B64" s="89"/>
      <c r="C64" s="89"/>
      <c r="D64" s="89"/>
      <c r="E64" s="89"/>
      <c r="F64" s="89"/>
      <c r="G64" s="89"/>
      <c r="H64" s="89"/>
      <c r="I64" s="89"/>
      <c r="J64" s="89"/>
      <c r="K64" s="90"/>
      <c r="L64" s="97"/>
      <c r="M64" s="98"/>
      <c r="N64" s="89"/>
      <c r="O64" s="89"/>
      <c r="P64" s="89"/>
      <c r="Q64" s="89"/>
      <c r="R64" s="90"/>
      <c r="S64" s="70"/>
      <c r="T64" s="89"/>
      <c r="U64" s="93"/>
      <c r="V64" s="94"/>
      <c r="W64" s="94"/>
      <c r="X64" s="83"/>
    </row>
    <row r="65" spans="1:24" s="63" customFormat="1" ht="15.75" customHeight="1">
      <c r="A65" s="87" t="s">
        <v>81</v>
      </c>
      <c r="B65" s="76" t="s">
        <v>179</v>
      </c>
      <c r="C65" s="66">
        <v>5</v>
      </c>
      <c r="D65" s="66">
        <v>4</v>
      </c>
      <c r="E65" s="66">
        <v>4</v>
      </c>
      <c r="F65" s="66">
        <v>5</v>
      </c>
      <c r="G65" s="66">
        <v>6</v>
      </c>
      <c r="H65" s="66">
        <v>6</v>
      </c>
      <c r="I65" s="66">
        <v>2</v>
      </c>
      <c r="J65" s="66">
        <v>3</v>
      </c>
      <c r="K65" s="67">
        <v>10</v>
      </c>
      <c r="L65" s="88"/>
      <c r="M65" s="69"/>
      <c r="N65" s="66"/>
      <c r="O65" s="66">
        <v>1</v>
      </c>
      <c r="P65" s="66" t="s">
        <v>179</v>
      </c>
      <c r="Q65" s="66" t="s">
        <v>179</v>
      </c>
      <c r="R65" s="66" t="s">
        <v>179</v>
      </c>
      <c r="S65" s="70" t="s">
        <v>209</v>
      </c>
      <c r="T65" s="78"/>
      <c r="U65" s="72" t="s">
        <v>56</v>
      </c>
      <c r="V65" s="102" t="s">
        <v>179</v>
      </c>
      <c r="W65" s="73">
        <f>IF(B65="-",0,B65)*(290+IF(B66=3,35,IF(B66=4,70,0))+IF(V65="-",0,V65)+VLOOKUP(X71,Baummensch,$Y$318,FALSE))</f>
        <v>0</v>
      </c>
      <c r="X65" s="79" t="s">
        <v>160</v>
      </c>
    </row>
    <row r="66" spans="1:24" s="63" customFormat="1" ht="15.75" customHeight="1">
      <c r="A66" s="75" t="s">
        <v>249</v>
      </c>
      <c r="B66" s="76">
        <v>2</v>
      </c>
      <c r="C66" s="66"/>
      <c r="D66" s="66"/>
      <c r="E66" s="66"/>
      <c r="F66" s="66"/>
      <c r="G66" s="66"/>
      <c r="H66" s="66"/>
      <c r="I66" s="66"/>
      <c r="J66" s="66"/>
      <c r="K66" s="67"/>
      <c r="L66" s="88"/>
      <c r="M66" s="69"/>
      <c r="N66" s="66"/>
      <c r="O66" s="89"/>
      <c r="P66" s="89"/>
      <c r="Q66" s="89"/>
      <c r="R66" s="90"/>
      <c r="S66" s="91"/>
      <c r="T66" s="92"/>
      <c r="U66" s="93"/>
      <c r="V66" s="94"/>
      <c r="W66" s="94"/>
      <c r="X66" s="83" t="s">
        <v>141</v>
      </c>
    </row>
    <row r="67" spans="1:24" s="63" customFormat="1" ht="15.75" customHeight="1">
      <c r="A67" s="87"/>
      <c r="B67" s="89"/>
      <c r="C67" s="66"/>
      <c r="D67" s="66"/>
      <c r="E67" s="66"/>
      <c r="F67" s="66"/>
      <c r="G67" s="66"/>
      <c r="H67" s="66"/>
      <c r="I67" s="66"/>
      <c r="J67" s="66"/>
      <c r="K67" s="67"/>
      <c r="L67" s="88"/>
      <c r="M67" s="69"/>
      <c r="N67" s="66"/>
      <c r="O67" s="89"/>
      <c r="P67" s="89"/>
      <c r="Q67" s="89"/>
      <c r="R67" s="90"/>
      <c r="S67" s="91"/>
      <c r="T67" s="92"/>
      <c r="U67" s="93"/>
      <c r="V67" s="94"/>
      <c r="W67" s="94"/>
      <c r="X67" s="85" t="s">
        <v>142</v>
      </c>
    </row>
    <row r="68" spans="1:24" s="63" customFormat="1" ht="15.75" customHeight="1">
      <c r="A68" s="87"/>
      <c r="B68" s="89"/>
      <c r="C68" s="66"/>
      <c r="D68" s="66"/>
      <c r="E68" s="66"/>
      <c r="F68" s="66"/>
      <c r="G68" s="66"/>
      <c r="H68" s="66"/>
      <c r="I68" s="66"/>
      <c r="J68" s="66"/>
      <c r="K68" s="67"/>
      <c r="L68" s="88"/>
      <c r="M68" s="69"/>
      <c r="N68" s="66"/>
      <c r="O68" s="89"/>
      <c r="P68" s="89"/>
      <c r="Q68" s="89"/>
      <c r="R68" s="90"/>
      <c r="S68" s="91"/>
      <c r="T68" s="92"/>
      <c r="U68" s="93"/>
      <c r="V68" s="94"/>
      <c r="W68" s="94"/>
      <c r="X68" s="95" t="s">
        <v>218</v>
      </c>
    </row>
    <row r="69" spans="1:24" s="63" customFormat="1" ht="15.75" customHeight="1">
      <c r="A69" s="87"/>
      <c r="B69" s="89"/>
      <c r="C69" s="66"/>
      <c r="D69" s="66"/>
      <c r="E69" s="66"/>
      <c r="F69" s="66"/>
      <c r="G69" s="66"/>
      <c r="H69" s="66"/>
      <c r="I69" s="66"/>
      <c r="J69" s="66"/>
      <c r="K69" s="67"/>
      <c r="L69" s="88"/>
      <c r="M69" s="69"/>
      <c r="N69" s="66"/>
      <c r="O69" s="89"/>
      <c r="P69" s="89"/>
      <c r="Q69" s="89"/>
      <c r="R69" s="90"/>
      <c r="S69" s="91"/>
      <c r="T69" s="92"/>
      <c r="U69" s="93"/>
      <c r="V69" s="94"/>
      <c r="W69" s="94"/>
      <c r="X69" s="79" t="s">
        <v>92</v>
      </c>
    </row>
    <row r="70" spans="1:24" s="63" customFormat="1" ht="15.75" customHeight="1">
      <c r="A70" s="87"/>
      <c r="B70" s="89"/>
      <c r="C70" s="66"/>
      <c r="D70" s="66"/>
      <c r="E70" s="66"/>
      <c r="F70" s="66"/>
      <c r="G70" s="66"/>
      <c r="H70" s="66"/>
      <c r="I70" s="66"/>
      <c r="J70" s="66"/>
      <c r="K70" s="67"/>
      <c r="L70" s="88"/>
      <c r="M70" s="69"/>
      <c r="N70" s="66"/>
      <c r="O70" s="89"/>
      <c r="P70" s="89"/>
      <c r="Q70" s="89"/>
      <c r="R70" s="90"/>
      <c r="S70" s="91"/>
      <c r="T70" s="92"/>
      <c r="U70" s="93"/>
      <c r="V70" s="94"/>
      <c r="W70" s="94"/>
      <c r="X70" s="83" t="s">
        <v>266</v>
      </c>
    </row>
    <row r="71" spans="1:24" s="63" customFormat="1" ht="15.75" customHeight="1">
      <c r="A71" s="87"/>
      <c r="B71" s="96"/>
      <c r="C71" s="89"/>
      <c r="D71" s="89"/>
      <c r="E71" s="89"/>
      <c r="F71" s="89"/>
      <c r="G71" s="89"/>
      <c r="H71" s="89"/>
      <c r="I71" s="89"/>
      <c r="J71" s="89"/>
      <c r="K71" s="90"/>
      <c r="L71" s="97"/>
      <c r="M71" s="98"/>
      <c r="N71" s="89"/>
      <c r="O71" s="89"/>
      <c r="P71" s="99"/>
      <c r="Q71" s="89"/>
      <c r="R71" s="90"/>
      <c r="S71" s="70"/>
      <c r="T71" s="89"/>
      <c r="U71" s="93"/>
      <c r="V71" s="94"/>
      <c r="W71" s="94"/>
      <c r="X71" s="110" t="s">
        <v>215</v>
      </c>
    </row>
    <row r="72" spans="1:24" s="63" customFormat="1" ht="15.75" customHeight="1">
      <c r="A72" s="87"/>
      <c r="B72" s="96"/>
      <c r="C72" s="89"/>
      <c r="D72" s="89"/>
      <c r="E72" s="89"/>
      <c r="F72" s="89"/>
      <c r="G72" s="89"/>
      <c r="H72" s="89"/>
      <c r="I72" s="89"/>
      <c r="J72" s="89"/>
      <c r="K72" s="90"/>
      <c r="L72" s="97"/>
      <c r="M72" s="98"/>
      <c r="N72" s="89"/>
      <c r="O72" s="89"/>
      <c r="P72" s="99"/>
      <c r="Q72" s="89"/>
      <c r="R72" s="90"/>
      <c r="S72" s="70"/>
      <c r="T72" s="89"/>
      <c r="U72" s="93"/>
      <c r="V72" s="94"/>
      <c r="W72" s="94"/>
      <c r="X72" s="109"/>
    </row>
    <row r="73" spans="1:24" s="63" customFormat="1" ht="15.75" customHeight="1">
      <c r="A73" s="87"/>
      <c r="B73" s="96"/>
      <c r="C73" s="89"/>
      <c r="D73" s="89"/>
      <c r="E73" s="89"/>
      <c r="F73" s="89"/>
      <c r="G73" s="89"/>
      <c r="H73" s="89"/>
      <c r="I73" s="89"/>
      <c r="J73" s="89"/>
      <c r="K73" s="90"/>
      <c r="L73" s="97"/>
      <c r="M73" s="98"/>
      <c r="N73" s="89"/>
      <c r="O73" s="89"/>
      <c r="P73" s="99"/>
      <c r="Q73" s="89"/>
      <c r="R73" s="90"/>
      <c r="S73" s="70"/>
      <c r="T73" s="89"/>
      <c r="U73" s="93"/>
      <c r="V73" s="94"/>
      <c r="W73" s="94"/>
      <c r="X73" s="109"/>
    </row>
    <row r="74" spans="1:28" s="63" customFormat="1" ht="24.75" customHeight="1">
      <c r="A74" s="55" t="s">
        <v>204</v>
      </c>
      <c r="B74" s="111" t="s">
        <v>54</v>
      </c>
      <c r="C74" s="112" t="s">
        <v>309</v>
      </c>
      <c r="D74" s="112" t="s">
        <v>190</v>
      </c>
      <c r="E74" s="112" t="s">
        <v>191</v>
      </c>
      <c r="F74" s="112" t="s">
        <v>250</v>
      </c>
      <c r="G74" s="112" t="s">
        <v>310</v>
      </c>
      <c r="H74" s="112" t="s">
        <v>192</v>
      </c>
      <c r="I74" s="112" t="s">
        <v>193</v>
      </c>
      <c r="J74" s="112" t="s">
        <v>194</v>
      </c>
      <c r="K74" s="112" t="s">
        <v>195</v>
      </c>
      <c r="L74" s="113"/>
      <c r="M74" s="112" t="s">
        <v>163</v>
      </c>
      <c r="N74" s="112" t="s">
        <v>164</v>
      </c>
      <c r="O74" s="112" t="s">
        <v>127</v>
      </c>
      <c r="P74" s="112" t="s">
        <v>247</v>
      </c>
      <c r="Q74" s="112" t="s">
        <v>187</v>
      </c>
      <c r="R74" s="112" t="s">
        <v>189</v>
      </c>
      <c r="S74" s="114" t="s">
        <v>114</v>
      </c>
      <c r="T74" s="115" t="s">
        <v>202</v>
      </c>
      <c r="U74" s="116" t="s">
        <v>188</v>
      </c>
      <c r="V74" s="38" t="s">
        <v>171</v>
      </c>
      <c r="W74" s="117" t="s">
        <v>52</v>
      </c>
      <c r="X74" s="116" t="s">
        <v>203</v>
      </c>
      <c r="Z74" s="64" t="s">
        <v>146</v>
      </c>
      <c r="AA74" s="64">
        <f>SUM(W75:W145)</f>
        <v>0</v>
      </c>
      <c r="AB74" s="64" t="s">
        <v>52</v>
      </c>
    </row>
    <row r="75" spans="1:24" s="63" customFormat="1" ht="15.75" customHeight="1">
      <c r="A75" s="65"/>
      <c r="B75" s="118"/>
      <c r="C75" s="66"/>
      <c r="D75" s="66"/>
      <c r="E75" s="66"/>
      <c r="F75" s="66"/>
      <c r="G75" s="66"/>
      <c r="H75" s="66"/>
      <c r="I75" s="66"/>
      <c r="J75" s="66"/>
      <c r="K75" s="72"/>
      <c r="L75" s="119"/>
      <c r="M75" s="70"/>
      <c r="N75" s="66"/>
      <c r="O75" s="66"/>
      <c r="P75" s="106"/>
      <c r="Q75" s="66"/>
      <c r="R75" s="72"/>
      <c r="S75" s="70"/>
      <c r="T75" s="66"/>
      <c r="U75" s="72"/>
      <c r="V75" s="120"/>
      <c r="W75" s="120"/>
      <c r="X75" s="121"/>
    </row>
    <row r="76" spans="1:24" s="63" customFormat="1" ht="15.75" customHeight="1">
      <c r="A76" s="122" t="s">
        <v>14</v>
      </c>
      <c r="B76" s="76" t="s">
        <v>179</v>
      </c>
      <c r="C76" s="66">
        <v>5</v>
      </c>
      <c r="D76" s="66">
        <v>6</v>
      </c>
      <c r="E76" s="66">
        <v>6</v>
      </c>
      <c r="F76" s="77" t="s">
        <v>132</v>
      </c>
      <c r="G76" s="77" t="s">
        <v>124</v>
      </c>
      <c r="H76" s="66">
        <v>2</v>
      </c>
      <c r="I76" s="66">
        <v>7</v>
      </c>
      <c r="J76" s="66">
        <v>3</v>
      </c>
      <c r="K76" s="67">
        <v>9</v>
      </c>
      <c r="L76" s="68"/>
      <c r="M76" s="69"/>
      <c r="N76" s="66"/>
      <c r="O76" s="66">
        <v>1</v>
      </c>
      <c r="P76" s="66" t="s">
        <v>179</v>
      </c>
      <c r="Q76" s="66" t="s">
        <v>198</v>
      </c>
      <c r="R76" s="66" t="s">
        <v>179</v>
      </c>
      <c r="S76" s="70" t="s">
        <v>56</v>
      </c>
      <c r="T76" s="123"/>
      <c r="U76" s="72"/>
      <c r="V76" s="73"/>
      <c r="W76" s="73">
        <f>275*IF(B76="-",0,B76)</f>
        <v>0</v>
      </c>
      <c r="X76" s="79" t="s">
        <v>224</v>
      </c>
    </row>
    <row r="77" spans="1:24" s="63" customFormat="1" ht="15.75" customHeight="1">
      <c r="A77" s="75"/>
      <c r="B77" s="66"/>
      <c r="C77" s="66"/>
      <c r="D77" s="66"/>
      <c r="E77" s="66"/>
      <c r="F77" s="66"/>
      <c r="G77" s="66"/>
      <c r="H77" s="66"/>
      <c r="I77" s="66"/>
      <c r="J77" s="66"/>
      <c r="K77" s="67"/>
      <c r="L77" s="68"/>
      <c r="M77" s="69"/>
      <c r="N77" s="66"/>
      <c r="O77" s="66"/>
      <c r="P77" s="66"/>
      <c r="Q77" s="66"/>
      <c r="R77" s="67"/>
      <c r="S77" s="70"/>
      <c r="T77" s="81"/>
      <c r="U77" s="72"/>
      <c r="V77" s="73"/>
      <c r="W77" s="73"/>
      <c r="X77" s="85" t="s">
        <v>225</v>
      </c>
    </row>
    <row r="78" spans="1:24" s="63" customFormat="1" ht="15.75" customHeight="1">
      <c r="A78" s="75"/>
      <c r="B78" s="66"/>
      <c r="C78" s="66"/>
      <c r="D78" s="66"/>
      <c r="E78" s="66"/>
      <c r="F78" s="66"/>
      <c r="G78" s="66"/>
      <c r="H78" s="66"/>
      <c r="I78" s="66"/>
      <c r="J78" s="66"/>
      <c r="K78" s="67"/>
      <c r="L78" s="68"/>
      <c r="M78" s="69"/>
      <c r="N78" s="66"/>
      <c r="O78" s="66"/>
      <c r="P78" s="66"/>
      <c r="Q78" s="66"/>
      <c r="R78" s="67"/>
      <c r="S78" s="70"/>
      <c r="T78" s="81"/>
      <c r="U78" s="72"/>
      <c r="V78" s="73"/>
      <c r="W78" s="73"/>
      <c r="X78" s="85" t="s">
        <v>226</v>
      </c>
    </row>
    <row r="79" spans="1:24" s="63" customFormat="1" ht="15.75" customHeight="1">
      <c r="A79" s="75"/>
      <c r="B79" s="66"/>
      <c r="C79" s="66"/>
      <c r="D79" s="66"/>
      <c r="E79" s="66"/>
      <c r="F79" s="66"/>
      <c r="G79" s="66"/>
      <c r="H79" s="66"/>
      <c r="I79" s="66"/>
      <c r="J79" s="66"/>
      <c r="K79" s="67"/>
      <c r="L79" s="68"/>
      <c r="M79" s="69"/>
      <c r="N79" s="66"/>
      <c r="O79" s="66"/>
      <c r="P79" s="66"/>
      <c r="Q79" s="66"/>
      <c r="R79" s="67"/>
      <c r="S79" s="70"/>
      <c r="T79" s="81"/>
      <c r="U79" s="72"/>
      <c r="V79" s="73"/>
      <c r="W79" s="73"/>
      <c r="X79" s="79" t="s">
        <v>227</v>
      </c>
    </row>
    <row r="80" spans="1:24" s="63" customFormat="1" ht="15.75" customHeight="1">
      <c r="A80" s="75"/>
      <c r="B80" s="66"/>
      <c r="C80" s="66"/>
      <c r="D80" s="66"/>
      <c r="E80" s="66"/>
      <c r="F80" s="66"/>
      <c r="G80" s="66"/>
      <c r="H80" s="66"/>
      <c r="I80" s="66"/>
      <c r="J80" s="66"/>
      <c r="K80" s="67"/>
      <c r="L80" s="68"/>
      <c r="M80" s="69"/>
      <c r="N80" s="66"/>
      <c r="O80" s="66"/>
      <c r="P80" s="66"/>
      <c r="Q80" s="66"/>
      <c r="R80" s="67"/>
      <c r="S80" s="70"/>
      <c r="T80" s="81"/>
      <c r="U80" s="72"/>
      <c r="V80" s="73"/>
      <c r="W80" s="73"/>
      <c r="X80" s="85" t="s">
        <v>233</v>
      </c>
    </row>
    <row r="81" spans="1:24" s="63" customFormat="1" ht="15.75" customHeight="1">
      <c r="A81" s="75" t="s">
        <v>15</v>
      </c>
      <c r="B81" s="66"/>
      <c r="C81" s="66">
        <v>5</v>
      </c>
      <c r="D81" s="66">
        <v>6</v>
      </c>
      <c r="E81" s="66">
        <v>6</v>
      </c>
      <c r="F81" s="77" t="s">
        <v>132</v>
      </c>
      <c r="G81" s="77" t="s">
        <v>124</v>
      </c>
      <c r="H81" s="66">
        <v>2</v>
      </c>
      <c r="I81" s="66">
        <v>7</v>
      </c>
      <c r="J81" s="66">
        <v>3</v>
      </c>
      <c r="K81" s="67">
        <v>9</v>
      </c>
      <c r="L81" s="68"/>
      <c r="M81" s="69"/>
      <c r="N81" s="66"/>
      <c r="O81" s="66">
        <v>1</v>
      </c>
      <c r="P81" s="66" t="s">
        <v>179</v>
      </c>
      <c r="Q81" s="66" t="s">
        <v>198</v>
      </c>
      <c r="R81" s="66" t="s">
        <v>179</v>
      </c>
      <c r="S81" s="70" t="s">
        <v>56</v>
      </c>
      <c r="T81" s="71"/>
      <c r="U81" s="72"/>
      <c r="V81" s="73"/>
      <c r="W81" s="73"/>
      <c r="X81" s="79" t="s">
        <v>228</v>
      </c>
    </row>
    <row r="82" spans="1:24" s="63" customFormat="1" ht="15.75" customHeight="1">
      <c r="A82" s="75"/>
      <c r="B82" s="66"/>
      <c r="C82" s="66"/>
      <c r="D82" s="66"/>
      <c r="E82" s="66"/>
      <c r="F82" s="66"/>
      <c r="G82" s="66"/>
      <c r="H82" s="66"/>
      <c r="I82" s="66"/>
      <c r="J82" s="66"/>
      <c r="K82" s="67"/>
      <c r="L82" s="68"/>
      <c r="M82" s="69"/>
      <c r="N82" s="66"/>
      <c r="O82" s="66"/>
      <c r="P82" s="66"/>
      <c r="Q82" s="66"/>
      <c r="R82" s="67"/>
      <c r="S82" s="70"/>
      <c r="T82" s="71"/>
      <c r="U82" s="72"/>
      <c r="V82" s="73"/>
      <c r="W82" s="73"/>
      <c r="X82" s="85" t="s">
        <v>229</v>
      </c>
    </row>
    <row r="83" spans="1:24" s="63" customFormat="1" ht="15.75" customHeight="1">
      <c r="A83" s="75"/>
      <c r="B83" s="66"/>
      <c r="C83" s="66"/>
      <c r="D83" s="66"/>
      <c r="E83" s="66"/>
      <c r="F83" s="66"/>
      <c r="G83" s="66"/>
      <c r="H83" s="66"/>
      <c r="I83" s="66"/>
      <c r="J83" s="66"/>
      <c r="K83" s="67"/>
      <c r="L83" s="68"/>
      <c r="M83" s="69"/>
      <c r="N83" s="66"/>
      <c r="O83" s="66"/>
      <c r="P83" s="66"/>
      <c r="Q83" s="66"/>
      <c r="R83" s="67"/>
      <c r="S83" s="70"/>
      <c r="T83" s="71"/>
      <c r="U83" s="72"/>
      <c r="V83" s="73"/>
      <c r="W83" s="73"/>
      <c r="X83" s="79" t="s">
        <v>227</v>
      </c>
    </row>
    <row r="84" spans="1:24" s="63" customFormat="1" ht="15.75" customHeight="1">
      <c r="A84" s="75"/>
      <c r="B84" s="66"/>
      <c r="C84" s="66"/>
      <c r="D84" s="66"/>
      <c r="E84" s="66"/>
      <c r="F84" s="66"/>
      <c r="G84" s="66"/>
      <c r="H84" s="66"/>
      <c r="I84" s="66"/>
      <c r="J84" s="66"/>
      <c r="K84" s="67"/>
      <c r="L84" s="68"/>
      <c r="M84" s="69"/>
      <c r="N84" s="66"/>
      <c r="O84" s="66"/>
      <c r="P84" s="66"/>
      <c r="Q84" s="66"/>
      <c r="R84" s="67"/>
      <c r="S84" s="70"/>
      <c r="T84" s="71"/>
      <c r="U84" s="72"/>
      <c r="V84" s="73"/>
      <c r="W84" s="73"/>
      <c r="X84" s="85" t="s">
        <v>234</v>
      </c>
    </row>
    <row r="85" spans="1:24" s="63" customFormat="1" ht="15.75" customHeight="1">
      <c r="A85" s="75"/>
      <c r="B85" s="66"/>
      <c r="C85" s="66"/>
      <c r="D85" s="66"/>
      <c r="E85" s="66"/>
      <c r="F85" s="66"/>
      <c r="G85" s="66"/>
      <c r="H85" s="66"/>
      <c r="I85" s="66"/>
      <c r="J85" s="66"/>
      <c r="K85" s="67"/>
      <c r="L85" s="68"/>
      <c r="M85" s="69"/>
      <c r="N85" s="66"/>
      <c r="O85" s="66"/>
      <c r="P85" s="66"/>
      <c r="Q85" s="66"/>
      <c r="R85" s="67"/>
      <c r="S85" s="70"/>
      <c r="T85" s="71"/>
      <c r="U85" s="72"/>
      <c r="V85" s="73"/>
      <c r="W85" s="73"/>
      <c r="X85" s="79" t="s">
        <v>230</v>
      </c>
    </row>
    <row r="86" spans="1:24" s="63" customFormat="1" ht="15.75" customHeight="1">
      <c r="A86" s="75"/>
      <c r="B86" s="66"/>
      <c r="C86" s="66"/>
      <c r="D86" s="66"/>
      <c r="E86" s="66"/>
      <c r="F86" s="66"/>
      <c r="G86" s="66"/>
      <c r="H86" s="66"/>
      <c r="I86" s="66"/>
      <c r="J86" s="66"/>
      <c r="K86" s="67"/>
      <c r="L86" s="68"/>
      <c r="M86" s="69"/>
      <c r="N86" s="66"/>
      <c r="O86" s="66"/>
      <c r="P86" s="66"/>
      <c r="Q86" s="66"/>
      <c r="R86" s="67"/>
      <c r="S86" s="70"/>
      <c r="T86" s="71"/>
      <c r="U86" s="72"/>
      <c r="V86" s="73"/>
      <c r="W86" s="73"/>
      <c r="X86" s="79" t="s">
        <v>231</v>
      </c>
    </row>
    <row r="87" spans="1:24" s="63" customFormat="1" ht="15.75" customHeight="1">
      <c r="A87" s="75"/>
      <c r="B87" s="66"/>
      <c r="C87" s="66"/>
      <c r="D87" s="66"/>
      <c r="E87" s="66"/>
      <c r="F87" s="66"/>
      <c r="G87" s="66"/>
      <c r="H87" s="66"/>
      <c r="I87" s="66"/>
      <c r="J87" s="66"/>
      <c r="K87" s="67"/>
      <c r="L87" s="68"/>
      <c r="M87" s="69"/>
      <c r="N87" s="66"/>
      <c r="O87" s="66"/>
      <c r="P87" s="66"/>
      <c r="Q87" s="66"/>
      <c r="R87" s="67"/>
      <c r="S87" s="70"/>
      <c r="T87" s="71"/>
      <c r="U87" s="72"/>
      <c r="V87" s="73"/>
      <c r="W87" s="73"/>
      <c r="X87" s="85" t="s">
        <v>232</v>
      </c>
    </row>
    <row r="88" spans="1:24" s="63" customFormat="1" ht="15.75" customHeight="1">
      <c r="A88" s="75" t="s">
        <v>155</v>
      </c>
      <c r="B88" s="76" t="s">
        <v>179</v>
      </c>
      <c r="C88" s="66">
        <v>2</v>
      </c>
      <c r="D88" s="66">
        <v>5</v>
      </c>
      <c r="E88" s="66">
        <v>0</v>
      </c>
      <c r="F88" s="66">
        <v>4</v>
      </c>
      <c r="G88" s="66">
        <v>4</v>
      </c>
      <c r="H88" s="66">
        <v>3</v>
      </c>
      <c r="I88" s="66">
        <v>4</v>
      </c>
      <c r="J88" s="66">
        <v>2</v>
      </c>
      <c r="K88" s="66">
        <v>8</v>
      </c>
      <c r="L88" s="68"/>
      <c r="M88" s="69"/>
      <c r="N88" s="66"/>
      <c r="O88" s="66"/>
      <c r="P88" s="66"/>
      <c r="Q88" s="66"/>
      <c r="R88" s="67"/>
      <c r="S88" s="70"/>
      <c r="T88" s="71"/>
      <c r="U88" s="72"/>
      <c r="V88" s="73"/>
      <c r="W88" s="73">
        <f>0*IF(B88="-",0,B88)</f>
        <v>0</v>
      </c>
      <c r="X88" s="79" t="s">
        <v>275</v>
      </c>
    </row>
    <row r="89" spans="1:24" s="63" customFormat="1" ht="15.75" customHeight="1">
      <c r="A89" s="75"/>
      <c r="B89" s="66"/>
      <c r="C89" s="66"/>
      <c r="D89" s="66"/>
      <c r="E89" s="66"/>
      <c r="F89" s="66"/>
      <c r="G89" s="66"/>
      <c r="H89" s="66"/>
      <c r="I89" s="66"/>
      <c r="J89" s="66"/>
      <c r="K89" s="67"/>
      <c r="L89" s="68"/>
      <c r="M89" s="69"/>
      <c r="N89" s="66"/>
      <c r="O89" s="66"/>
      <c r="P89" s="66"/>
      <c r="Q89" s="66"/>
      <c r="R89" s="67"/>
      <c r="S89" s="70"/>
      <c r="T89" s="71"/>
      <c r="U89" s="72"/>
      <c r="V89" s="73"/>
      <c r="W89" s="73"/>
      <c r="X89" s="79" t="s">
        <v>235</v>
      </c>
    </row>
    <row r="90" spans="1:29" s="63" customFormat="1" ht="15.75" customHeight="1">
      <c r="A90" s="75" t="s">
        <v>154</v>
      </c>
      <c r="B90" s="76" t="s">
        <v>179</v>
      </c>
      <c r="C90" s="66">
        <v>6</v>
      </c>
      <c r="D90" s="66">
        <v>6</v>
      </c>
      <c r="E90" s="66">
        <v>0</v>
      </c>
      <c r="F90" s="66">
        <v>6</v>
      </c>
      <c r="G90" s="66">
        <v>6</v>
      </c>
      <c r="H90" s="66">
        <v>6</v>
      </c>
      <c r="I90" s="66">
        <v>3</v>
      </c>
      <c r="J90" s="66">
        <v>5</v>
      </c>
      <c r="K90" s="67">
        <v>8</v>
      </c>
      <c r="L90" s="68"/>
      <c r="M90" s="69"/>
      <c r="N90" s="66"/>
      <c r="O90" s="66"/>
      <c r="P90" s="66"/>
      <c r="Q90" s="66"/>
      <c r="R90" s="67"/>
      <c r="S90" s="70" t="s">
        <v>209</v>
      </c>
      <c r="T90" s="71"/>
      <c r="U90" s="72" t="s">
        <v>56</v>
      </c>
      <c r="V90" s="73"/>
      <c r="W90" s="73">
        <f>220*IF(B90="-",0,B90)</f>
        <v>0</v>
      </c>
      <c r="X90" s="124" t="s">
        <v>276</v>
      </c>
      <c r="Z90" s="125"/>
      <c r="AA90" s="125"/>
      <c r="AB90" s="125"/>
      <c r="AC90" s="126"/>
    </row>
    <row r="91" spans="1:24" s="63" customFormat="1" ht="15.75" customHeight="1">
      <c r="A91" s="75" t="s">
        <v>64</v>
      </c>
      <c r="B91" s="66"/>
      <c r="C91" s="66"/>
      <c r="D91" s="66"/>
      <c r="E91" s="66"/>
      <c r="F91" s="66"/>
      <c r="G91" s="66"/>
      <c r="H91" s="66"/>
      <c r="I91" s="66"/>
      <c r="J91" s="66"/>
      <c r="K91" s="67"/>
      <c r="L91" s="68"/>
      <c r="M91" s="69"/>
      <c r="N91" s="66"/>
      <c r="O91" s="66"/>
      <c r="P91" s="66"/>
      <c r="Q91" s="66"/>
      <c r="R91" s="67"/>
      <c r="S91" s="70"/>
      <c r="T91" s="71"/>
      <c r="U91" s="72"/>
      <c r="V91" s="73"/>
      <c r="W91" s="73"/>
      <c r="X91" s="79" t="s">
        <v>277</v>
      </c>
    </row>
    <row r="92" spans="1:24" s="63" customFormat="1" ht="15.75" customHeight="1">
      <c r="A92" s="75"/>
      <c r="B92" s="66"/>
      <c r="C92" s="66"/>
      <c r="D92" s="66"/>
      <c r="E92" s="66"/>
      <c r="F92" s="66"/>
      <c r="G92" s="66"/>
      <c r="H92" s="66"/>
      <c r="I92" s="66"/>
      <c r="J92" s="66"/>
      <c r="K92" s="67"/>
      <c r="L92" s="68"/>
      <c r="M92" s="69"/>
      <c r="N92" s="66"/>
      <c r="O92" s="66"/>
      <c r="P92" s="66"/>
      <c r="Q92" s="66"/>
      <c r="R92" s="67"/>
      <c r="S92" s="70"/>
      <c r="T92" s="71"/>
      <c r="U92" s="72"/>
      <c r="V92" s="73"/>
      <c r="W92" s="73"/>
      <c r="X92" s="85" t="s">
        <v>278</v>
      </c>
    </row>
    <row r="93" spans="1:24" s="63" customFormat="1" ht="15.75" customHeight="1">
      <c r="A93" s="75"/>
      <c r="B93" s="66"/>
      <c r="C93" s="66"/>
      <c r="D93" s="66"/>
      <c r="E93" s="66"/>
      <c r="F93" s="66"/>
      <c r="G93" s="66"/>
      <c r="H93" s="66"/>
      <c r="I93" s="66"/>
      <c r="J93" s="66"/>
      <c r="K93" s="67"/>
      <c r="L93" s="68"/>
      <c r="M93" s="69"/>
      <c r="N93" s="66"/>
      <c r="O93" s="66"/>
      <c r="P93" s="66"/>
      <c r="Q93" s="66"/>
      <c r="R93" s="67"/>
      <c r="S93" s="70"/>
      <c r="T93" s="71"/>
      <c r="U93" s="72"/>
      <c r="V93" s="73"/>
      <c r="W93" s="73"/>
      <c r="X93" s="79" t="s">
        <v>280</v>
      </c>
    </row>
    <row r="94" spans="1:24" s="63" customFormat="1" ht="15.75" customHeight="1">
      <c r="A94" s="75"/>
      <c r="B94" s="66"/>
      <c r="C94" s="66"/>
      <c r="D94" s="66"/>
      <c r="E94" s="66"/>
      <c r="F94" s="66"/>
      <c r="G94" s="66"/>
      <c r="H94" s="66"/>
      <c r="I94" s="66"/>
      <c r="J94" s="66"/>
      <c r="K94" s="67"/>
      <c r="L94" s="68"/>
      <c r="M94" s="69"/>
      <c r="N94" s="66"/>
      <c r="O94" s="66"/>
      <c r="P94" s="66"/>
      <c r="Q94" s="66"/>
      <c r="R94" s="67"/>
      <c r="S94" s="70"/>
      <c r="T94" s="71"/>
      <c r="U94" s="72"/>
      <c r="V94" s="73"/>
      <c r="W94" s="73"/>
      <c r="X94" s="84" t="s">
        <v>281</v>
      </c>
    </row>
    <row r="95" spans="1:24" s="63" customFormat="1" ht="15.75" customHeight="1">
      <c r="A95" s="75"/>
      <c r="B95" s="66"/>
      <c r="C95" s="66"/>
      <c r="D95" s="66"/>
      <c r="E95" s="66"/>
      <c r="F95" s="66"/>
      <c r="G95" s="66"/>
      <c r="H95" s="66"/>
      <c r="I95" s="66"/>
      <c r="J95" s="66"/>
      <c r="K95" s="67"/>
      <c r="L95" s="68"/>
      <c r="M95" s="69"/>
      <c r="N95" s="66"/>
      <c r="O95" s="66"/>
      <c r="P95" s="66"/>
      <c r="Q95" s="66"/>
      <c r="R95" s="67"/>
      <c r="S95" s="70"/>
      <c r="T95" s="71"/>
      <c r="U95" s="72"/>
      <c r="V95" s="73"/>
      <c r="W95" s="73"/>
      <c r="X95" s="84"/>
    </row>
    <row r="96" spans="1:24" s="63" customFormat="1" ht="15.75" customHeight="1">
      <c r="A96" s="75"/>
      <c r="B96" s="66"/>
      <c r="C96" s="66"/>
      <c r="D96" s="66"/>
      <c r="E96" s="66"/>
      <c r="F96" s="66"/>
      <c r="G96" s="66"/>
      <c r="H96" s="66"/>
      <c r="I96" s="66"/>
      <c r="J96" s="66"/>
      <c r="K96" s="67"/>
      <c r="L96" s="68"/>
      <c r="M96" s="69"/>
      <c r="N96" s="66"/>
      <c r="O96" s="66"/>
      <c r="P96" s="66"/>
      <c r="Q96" s="66"/>
      <c r="R96" s="67"/>
      <c r="S96" s="70"/>
      <c r="T96" s="71"/>
      <c r="U96" s="72"/>
      <c r="V96" s="73"/>
      <c r="W96" s="73"/>
      <c r="X96" s="84"/>
    </row>
    <row r="97" spans="1:24" s="63" customFormat="1" ht="15.75" customHeight="1">
      <c r="A97" s="65" t="s">
        <v>65</v>
      </c>
      <c r="B97" s="76" t="s">
        <v>179</v>
      </c>
      <c r="C97" s="66">
        <v>5</v>
      </c>
      <c r="D97" s="66">
        <v>7</v>
      </c>
      <c r="E97" s="66">
        <v>5</v>
      </c>
      <c r="F97" s="66">
        <v>4</v>
      </c>
      <c r="G97" s="66">
        <v>4</v>
      </c>
      <c r="H97" s="66">
        <v>3</v>
      </c>
      <c r="I97" s="66">
        <v>7</v>
      </c>
      <c r="J97" s="77" t="s">
        <v>270</v>
      </c>
      <c r="K97" s="67">
        <v>9</v>
      </c>
      <c r="L97" s="68"/>
      <c r="M97" s="69"/>
      <c r="N97" s="66"/>
      <c r="O97" s="66">
        <v>1</v>
      </c>
      <c r="P97" s="66" t="s">
        <v>179</v>
      </c>
      <c r="Q97" s="66" t="s">
        <v>179</v>
      </c>
      <c r="R97" s="66" t="s">
        <v>179</v>
      </c>
      <c r="S97" s="70"/>
      <c r="T97" s="71"/>
      <c r="U97" s="72" t="s">
        <v>56</v>
      </c>
      <c r="V97" s="73"/>
      <c r="W97" s="73">
        <f>255*IF(B97="-",0,B97)</f>
        <v>0</v>
      </c>
      <c r="X97" s="79" t="s">
        <v>90</v>
      </c>
    </row>
    <row r="98" spans="1:24" s="63" customFormat="1" ht="15.75" customHeight="1">
      <c r="A98" s="75" t="s">
        <v>249</v>
      </c>
      <c r="B98" s="66">
        <v>2</v>
      </c>
      <c r="C98" s="66"/>
      <c r="D98" s="66"/>
      <c r="E98" s="66"/>
      <c r="F98" s="66"/>
      <c r="G98" s="66"/>
      <c r="H98" s="66"/>
      <c r="I98" s="66"/>
      <c r="J98" s="66"/>
      <c r="K98" s="67"/>
      <c r="L98" s="68"/>
      <c r="M98" s="69"/>
      <c r="N98" s="66"/>
      <c r="O98" s="66"/>
      <c r="P98" s="66"/>
      <c r="Q98" s="66"/>
      <c r="R98" s="67"/>
      <c r="S98" s="70"/>
      <c r="T98" s="71"/>
      <c r="U98" s="72"/>
      <c r="V98" s="73"/>
      <c r="W98" s="73"/>
      <c r="X98" s="79" t="s">
        <v>269</v>
      </c>
    </row>
    <row r="99" spans="1:24" s="63" customFormat="1" ht="15.75" customHeight="1">
      <c r="A99" s="75"/>
      <c r="B99" s="66"/>
      <c r="C99" s="66"/>
      <c r="D99" s="66"/>
      <c r="E99" s="66"/>
      <c r="F99" s="66"/>
      <c r="G99" s="66"/>
      <c r="H99" s="66"/>
      <c r="I99" s="66"/>
      <c r="J99" s="66"/>
      <c r="K99" s="67"/>
      <c r="L99" s="68"/>
      <c r="M99" s="69"/>
      <c r="N99" s="66"/>
      <c r="O99" s="66"/>
      <c r="P99" s="66"/>
      <c r="Q99" s="66"/>
      <c r="R99" s="67"/>
      <c r="S99" s="70"/>
      <c r="T99" s="71"/>
      <c r="U99" s="72"/>
      <c r="V99" s="73"/>
      <c r="W99" s="73"/>
      <c r="X99" s="79" t="s">
        <v>92</v>
      </c>
    </row>
    <row r="100" spans="1:24" s="63" customFormat="1" ht="15.75" customHeight="1">
      <c r="A100" s="75"/>
      <c r="B100" s="66"/>
      <c r="C100" s="66"/>
      <c r="D100" s="66"/>
      <c r="E100" s="66"/>
      <c r="F100" s="66"/>
      <c r="G100" s="66"/>
      <c r="H100" s="66"/>
      <c r="I100" s="66"/>
      <c r="J100" s="66"/>
      <c r="K100" s="67"/>
      <c r="L100" s="68"/>
      <c r="M100" s="69"/>
      <c r="N100" s="66"/>
      <c r="O100" s="66"/>
      <c r="P100" s="66"/>
      <c r="Q100" s="66"/>
      <c r="R100" s="67"/>
      <c r="S100" s="70"/>
      <c r="T100" s="71"/>
      <c r="U100" s="72"/>
      <c r="V100" s="73"/>
      <c r="W100" s="73"/>
      <c r="X100" s="79" t="s">
        <v>268</v>
      </c>
    </row>
    <row r="101" spans="1:24" s="63" customFormat="1" ht="15.75" customHeight="1">
      <c r="A101" s="75"/>
      <c r="B101" s="66"/>
      <c r="C101" s="66"/>
      <c r="D101" s="66"/>
      <c r="E101" s="66"/>
      <c r="F101" s="66"/>
      <c r="G101" s="66"/>
      <c r="H101" s="66"/>
      <c r="I101" s="66"/>
      <c r="J101" s="66"/>
      <c r="K101" s="67"/>
      <c r="L101" s="68"/>
      <c r="M101" s="69"/>
      <c r="N101" s="66"/>
      <c r="O101" s="66"/>
      <c r="P101" s="66"/>
      <c r="Q101" s="66"/>
      <c r="R101" s="67"/>
      <c r="S101" s="70"/>
      <c r="T101" s="71"/>
      <c r="U101" s="72"/>
      <c r="V101" s="73"/>
      <c r="W101" s="73"/>
      <c r="X101" s="127" t="s">
        <v>271</v>
      </c>
    </row>
    <row r="102" spans="1:24" s="63" customFormat="1" ht="15.75" customHeight="1">
      <c r="A102" s="75"/>
      <c r="B102" s="66"/>
      <c r="C102" s="66"/>
      <c r="D102" s="66"/>
      <c r="E102" s="66"/>
      <c r="F102" s="66"/>
      <c r="G102" s="66"/>
      <c r="H102" s="66"/>
      <c r="I102" s="66"/>
      <c r="J102" s="66"/>
      <c r="K102" s="67"/>
      <c r="L102" s="68"/>
      <c r="M102" s="69"/>
      <c r="N102" s="66"/>
      <c r="O102" s="66"/>
      <c r="P102" s="66"/>
      <c r="Q102" s="66"/>
      <c r="R102" s="67"/>
      <c r="S102" s="70"/>
      <c r="T102" s="71"/>
      <c r="U102" s="72"/>
      <c r="V102" s="73"/>
      <c r="W102" s="73"/>
      <c r="X102" s="84" t="s">
        <v>272</v>
      </c>
    </row>
    <row r="103" spans="1:24" s="63" customFormat="1" ht="15.75" customHeight="1">
      <c r="A103" s="75"/>
      <c r="B103" s="66"/>
      <c r="C103" s="66"/>
      <c r="D103" s="66"/>
      <c r="E103" s="66"/>
      <c r="F103" s="66"/>
      <c r="G103" s="66"/>
      <c r="H103" s="66"/>
      <c r="I103" s="66"/>
      <c r="J103" s="66"/>
      <c r="K103" s="67"/>
      <c r="L103" s="68"/>
      <c r="M103" s="69"/>
      <c r="N103" s="66"/>
      <c r="O103" s="66"/>
      <c r="P103" s="66"/>
      <c r="Q103" s="66"/>
      <c r="R103" s="67"/>
      <c r="S103" s="70"/>
      <c r="T103" s="71"/>
      <c r="U103" s="72"/>
      <c r="V103" s="73"/>
      <c r="W103" s="73"/>
      <c r="X103" s="109" t="s">
        <v>273</v>
      </c>
    </row>
    <row r="104" spans="1:24" s="63" customFormat="1" ht="15.75" customHeight="1">
      <c r="A104" s="75"/>
      <c r="B104" s="66"/>
      <c r="C104" s="66"/>
      <c r="D104" s="66"/>
      <c r="E104" s="66"/>
      <c r="F104" s="66"/>
      <c r="G104" s="66"/>
      <c r="H104" s="66"/>
      <c r="I104" s="66"/>
      <c r="J104" s="66"/>
      <c r="K104" s="67"/>
      <c r="L104" s="68"/>
      <c r="M104" s="69"/>
      <c r="N104" s="66"/>
      <c r="O104" s="66"/>
      <c r="P104" s="66"/>
      <c r="Q104" s="66"/>
      <c r="R104" s="67"/>
      <c r="S104" s="70"/>
      <c r="T104" s="71"/>
      <c r="U104" s="72"/>
      <c r="V104" s="73"/>
      <c r="W104" s="73"/>
      <c r="X104" s="109"/>
    </row>
    <row r="105" spans="1:24" s="63" customFormat="1" ht="15.75" customHeight="1">
      <c r="A105" s="75"/>
      <c r="B105" s="66"/>
      <c r="C105" s="66"/>
      <c r="D105" s="66"/>
      <c r="E105" s="66"/>
      <c r="F105" s="66"/>
      <c r="G105" s="66"/>
      <c r="H105" s="66"/>
      <c r="I105" s="66"/>
      <c r="J105" s="66"/>
      <c r="K105" s="67"/>
      <c r="L105" s="88"/>
      <c r="M105" s="69"/>
      <c r="N105" s="66"/>
      <c r="O105" s="66"/>
      <c r="P105" s="66"/>
      <c r="Q105" s="66"/>
      <c r="R105" s="67"/>
      <c r="S105" s="91"/>
      <c r="T105" s="92"/>
      <c r="U105" s="72"/>
      <c r="V105" s="73"/>
      <c r="W105" s="73"/>
      <c r="X105" s="79"/>
    </row>
    <row r="106" spans="1:28" s="63" customFormat="1" ht="15.75" customHeight="1">
      <c r="A106" s="65" t="s">
        <v>69</v>
      </c>
      <c r="B106" s="76" t="s">
        <v>179</v>
      </c>
      <c r="C106" s="66">
        <v>5</v>
      </c>
      <c r="D106" s="66">
        <v>6</v>
      </c>
      <c r="E106" s="66">
        <v>6</v>
      </c>
      <c r="F106" s="66">
        <v>4</v>
      </c>
      <c r="G106" s="66">
        <v>3</v>
      </c>
      <c r="H106" s="66">
        <v>2</v>
      </c>
      <c r="I106" s="66">
        <v>7</v>
      </c>
      <c r="J106" s="66">
        <v>3</v>
      </c>
      <c r="K106" s="67">
        <v>9</v>
      </c>
      <c r="L106" s="68"/>
      <c r="M106" s="69"/>
      <c r="N106" s="66"/>
      <c r="O106" s="76">
        <v>1</v>
      </c>
      <c r="P106" s="76" t="s">
        <v>179</v>
      </c>
      <c r="Q106" s="66" t="s">
        <v>198</v>
      </c>
      <c r="R106" s="101" t="s">
        <v>179</v>
      </c>
      <c r="S106" s="70" t="str">
        <f>VLOOKUP(T106,RW,$Z$259,FALSE)</f>
        <v>6+</v>
      </c>
      <c r="T106" s="78">
        <f>VLOOKUP(Q106,Ruestung2,$Z$251,FALSE)+IF(R106=1,1,0)</f>
        <v>1</v>
      </c>
      <c r="U106" s="72"/>
      <c r="V106" s="102" t="s">
        <v>179</v>
      </c>
      <c r="W106" s="73">
        <f>IF(B106="-",0,B106)*(75+IF(V106="-",0,V106)+IF(P106=1,4,0)+IF(O106=2,2,0)+IF(R106=1,2,0)+VLOOKUP(X109,Waffen,$Z$335,FALSE)+VLOOKUP(X110,Pfeile,$Z$324,FALSE))</f>
        <v>0</v>
      </c>
      <c r="X106" s="79" t="s">
        <v>262</v>
      </c>
      <c r="AB106" s="103"/>
    </row>
    <row r="107" spans="1:28" s="63" customFormat="1" ht="15.75" customHeight="1">
      <c r="A107" s="75"/>
      <c r="B107" s="66"/>
      <c r="C107" s="66"/>
      <c r="D107" s="66"/>
      <c r="E107" s="66"/>
      <c r="F107" s="66"/>
      <c r="G107" s="66"/>
      <c r="H107" s="66"/>
      <c r="I107" s="66"/>
      <c r="J107" s="66"/>
      <c r="K107" s="67"/>
      <c r="L107" s="68"/>
      <c r="M107" s="69"/>
      <c r="N107" s="66"/>
      <c r="O107" s="66"/>
      <c r="P107" s="66"/>
      <c r="Q107" s="66"/>
      <c r="R107" s="67"/>
      <c r="S107" s="70"/>
      <c r="T107" s="66"/>
      <c r="U107" s="72"/>
      <c r="V107" s="73"/>
      <c r="W107" s="73"/>
      <c r="X107" s="85" t="s">
        <v>263</v>
      </c>
      <c r="AB107" s="63" t="e">
        <f>VLOOKUP(AA107,Sippen,$AA$282,FALSE)</f>
        <v>#N/A</v>
      </c>
    </row>
    <row r="108" spans="1:24" s="63" customFormat="1" ht="15.75" customHeight="1">
      <c r="A108" s="75"/>
      <c r="B108" s="66"/>
      <c r="C108" s="66"/>
      <c r="D108" s="66"/>
      <c r="E108" s="66"/>
      <c r="F108" s="66"/>
      <c r="G108" s="66"/>
      <c r="H108" s="66"/>
      <c r="I108" s="66"/>
      <c r="J108" s="66"/>
      <c r="K108" s="67"/>
      <c r="L108" s="68"/>
      <c r="M108" s="69"/>
      <c r="N108" s="66"/>
      <c r="O108" s="66"/>
      <c r="P108" s="66"/>
      <c r="Q108" s="66"/>
      <c r="R108" s="67"/>
      <c r="S108" s="70"/>
      <c r="T108" s="66"/>
      <c r="U108" s="72"/>
      <c r="V108" s="73"/>
      <c r="W108" s="73"/>
      <c r="X108" s="79" t="s">
        <v>220</v>
      </c>
    </row>
    <row r="109" spans="1:24" s="63" customFormat="1" ht="15.75" customHeight="1">
      <c r="A109" s="75"/>
      <c r="B109" s="66"/>
      <c r="C109" s="66"/>
      <c r="D109" s="66"/>
      <c r="E109" s="66"/>
      <c r="F109" s="66"/>
      <c r="G109" s="66"/>
      <c r="H109" s="66"/>
      <c r="I109" s="66"/>
      <c r="J109" s="66"/>
      <c r="K109" s="67"/>
      <c r="L109" s="68"/>
      <c r="M109" s="69"/>
      <c r="N109" s="66"/>
      <c r="O109" s="66"/>
      <c r="P109" s="66"/>
      <c r="Q109" s="66"/>
      <c r="R109" s="67"/>
      <c r="S109" s="70"/>
      <c r="T109" s="66"/>
      <c r="U109" s="72"/>
      <c r="V109" s="73"/>
      <c r="W109" s="73"/>
      <c r="X109" s="104" t="s">
        <v>152</v>
      </c>
    </row>
    <row r="110" spans="1:24" s="63" customFormat="1" ht="15.75" customHeight="1">
      <c r="A110" s="75"/>
      <c r="B110" s="66"/>
      <c r="C110" s="66"/>
      <c r="D110" s="66"/>
      <c r="E110" s="66"/>
      <c r="F110" s="66"/>
      <c r="G110" s="66"/>
      <c r="H110" s="66"/>
      <c r="I110" s="66"/>
      <c r="J110" s="66"/>
      <c r="K110" s="67"/>
      <c r="L110" s="68"/>
      <c r="M110" s="69"/>
      <c r="N110" s="66"/>
      <c r="O110" s="66"/>
      <c r="P110" s="66"/>
      <c r="Q110" s="66"/>
      <c r="R110" s="67"/>
      <c r="S110" s="70"/>
      <c r="T110" s="66"/>
      <c r="U110" s="72"/>
      <c r="V110" s="73"/>
      <c r="W110" s="73"/>
      <c r="X110" s="104" t="s">
        <v>305</v>
      </c>
    </row>
    <row r="111" spans="1:24" s="63" customFormat="1" ht="15.75" customHeight="1">
      <c r="A111" s="75"/>
      <c r="B111" s="66"/>
      <c r="C111" s="66"/>
      <c r="D111" s="66"/>
      <c r="E111" s="66"/>
      <c r="F111" s="66"/>
      <c r="G111" s="66"/>
      <c r="H111" s="66"/>
      <c r="I111" s="66"/>
      <c r="J111" s="66"/>
      <c r="K111" s="67"/>
      <c r="L111" s="68"/>
      <c r="M111" s="69"/>
      <c r="N111" s="66"/>
      <c r="O111" s="66"/>
      <c r="P111" s="66"/>
      <c r="Q111" s="66"/>
      <c r="R111" s="67"/>
      <c r="S111" s="70"/>
      <c r="T111" s="66"/>
      <c r="U111" s="72"/>
      <c r="V111" s="73"/>
      <c r="W111" s="73"/>
      <c r="X111" s="104" t="str">
        <f>VLOOKUP(X110,Pfeile,$Y$324,FALSE)</f>
        <v>-</v>
      </c>
    </row>
    <row r="112" spans="1:24" s="63" customFormat="1" ht="15.75" customHeight="1">
      <c r="A112" s="128" t="s">
        <v>135</v>
      </c>
      <c r="B112" s="76" t="s">
        <v>179</v>
      </c>
      <c r="C112" s="66"/>
      <c r="D112" s="66"/>
      <c r="E112" s="66"/>
      <c r="F112" s="66"/>
      <c r="G112" s="66"/>
      <c r="H112" s="66"/>
      <c r="I112" s="66"/>
      <c r="J112" s="66"/>
      <c r="K112" s="67"/>
      <c r="L112" s="129"/>
      <c r="M112" s="69"/>
      <c r="N112" s="66"/>
      <c r="O112" s="66"/>
      <c r="P112" s="66"/>
      <c r="Q112" s="66"/>
      <c r="R112" s="67"/>
      <c r="S112" s="70"/>
      <c r="T112" s="66"/>
      <c r="U112" s="72"/>
      <c r="V112" s="102" t="s">
        <v>179</v>
      </c>
      <c r="W112" s="73">
        <f>IF(B112="-",0,B112)*(25+IF(V112="-",0,V112))</f>
        <v>0</v>
      </c>
      <c r="X112" s="130" t="s">
        <v>137</v>
      </c>
    </row>
    <row r="113" spans="1:24" s="63" customFormat="1" ht="15.75" customHeight="1">
      <c r="A113" s="128"/>
      <c r="B113" s="66"/>
      <c r="C113" s="66"/>
      <c r="D113" s="66"/>
      <c r="E113" s="66"/>
      <c r="F113" s="66"/>
      <c r="G113" s="66"/>
      <c r="H113" s="66"/>
      <c r="I113" s="66"/>
      <c r="J113" s="66"/>
      <c r="K113" s="67"/>
      <c r="L113" s="129"/>
      <c r="M113" s="69"/>
      <c r="N113" s="66"/>
      <c r="O113" s="66"/>
      <c r="P113" s="66"/>
      <c r="Q113" s="66"/>
      <c r="R113" s="67"/>
      <c r="S113" s="70"/>
      <c r="T113" s="66"/>
      <c r="U113" s="72"/>
      <c r="V113" s="73"/>
      <c r="W113" s="73"/>
      <c r="X113" s="131" t="s">
        <v>136</v>
      </c>
    </row>
    <row r="114" spans="1:24" s="63" customFormat="1" ht="15.75" customHeight="1">
      <c r="A114" s="65" t="s">
        <v>139</v>
      </c>
      <c r="B114" s="76">
        <v>1</v>
      </c>
      <c r="C114" s="66" t="str">
        <f>VLOOKUP($A114,Mount,$Z$308,FALSE)</f>
        <v>-</v>
      </c>
      <c r="D114" s="66" t="str">
        <f>VLOOKUP($A114,Mount,$AA$308,FALSE)</f>
        <v>-</v>
      </c>
      <c r="E114" s="66" t="str">
        <f>VLOOKUP($A114,Mount,$AB$308,FALSE)</f>
        <v>-</v>
      </c>
      <c r="F114" s="66" t="str">
        <f>VLOOKUP($A114,Mount,$AC$308,FALSE)</f>
        <v>-</v>
      </c>
      <c r="G114" s="66" t="str">
        <f>VLOOKUP($A114,Mount,$AD$308,FALSE)</f>
        <v>-</v>
      </c>
      <c r="H114" s="66" t="str">
        <f>VLOOKUP($A114,Mount,$AE$308,FALSE)</f>
        <v>-</v>
      </c>
      <c r="I114" s="66" t="str">
        <f>VLOOKUP($A114,Mount,$AF$308,FALSE)</f>
        <v>-</v>
      </c>
      <c r="J114" s="66" t="str">
        <f>VLOOKUP($A114,Mount,$AG$308,FALSE)</f>
        <v>-</v>
      </c>
      <c r="K114" s="67" t="str">
        <f>VLOOKUP($A114,Mount,$AH$308,FALSE)</f>
        <v>-</v>
      </c>
      <c r="L114" s="68"/>
      <c r="M114" s="69"/>
      <c r="N114" s="66"/>
      <c r="O114" s="66">
        <v>1</v>
      </c>
      <c r="P114" s="66" t="s">
        <v>179</v>
      </c>
      <c r="Q114" s="66" t="s">
        <v>179</v>
      </c>
      <c r="R114" s="67" t="s">
        <v>179</v>
      </c>
      <c r="S114" s="70" t="str">
        <f>VLOOKUP($A114,Mount,$AI$308,FALSE)</f>
        <v>-</v>
      </c>
      <c r="T114" s="66"/>
      <c r="U114" s="72" t="str">
        <f>VLOOKUP($A114,Mount,$AJ$308,FALSE)</f>
        <v>-</v>
      </c>
      <c r="V114" s="73"/>
      <c r="W114" s="73">
        <f>IF(B114="-",0,B114*VLOOKUP($A114,Mount,$AP$308,FALSE))</f>
        <v>0</v>
      </c>
      <c r="X114" s="104" t="str">
        <f>VLOOKUP($A114,Mount,$AK$308,FALSE)</f>
        <v>-</v>
      </c>
    </row>
    <row r="115" spans="1:24" s="63" customFormat="1" ht="15.75" customHeight="1">
      <c r="A115" s="105"/>
      <c r="B115" s="66"/>
      <c r="C115" s="66"/>
      <c r="D115" s="66"/>
      <c r="E115" s="66"/>
      <c r="F115" s="66"/>
      <c r="G115" s="66"/>
      <c r="H115" s="66"/>
      <c r="I115" s="66"/>
      <c r="J115" s="66"/>
      <c r="K115" s="67"/>
      <c r="L115" s="68"/>
      <c r="M115" s="69"/>
      <c r="N115" s="66"/>
      <c r="O115" s="66"/>
      <c r="P115" s="66"/>
      <c r="Q115" s="66"/>
      <c r="R115" s="67"/>
      <c r="S115" s="70"/>
      <c r="T115" s="66"/>
      <c r="U115" s="72"/>
      <c r="V115" s="73"/>
      <c r="W115" s="73"/>
      <c r="X115" s="104" t="str">
        <f>VLOOKUP($A114,Mount,$AL$308,FALSE)</f>
        <v>-</v>
      </c>
    </row>
    <row r="116" spans="1:24" s="63" customFormat="1" ht="15.75" customHeight="1">
      <c r="A116" s="132"/>
      <c r="B116" s="133"/>
      <c r="C116" s="133"/>
      <c r="D116" s="133"/>
      <c r="E116" s="133"/>
      <c r="F116" s="133"/>
      <c r="G116" s="133"/>
      <c r="H116" s="133"/>
      <c r="I116" s="133"/>
      <c r="J116" s="133"/>
      <c r="K116" s="134"/>
      <c r="L116" s="135"/>
      <c r="M116" s="136"/>
      <c r="N116" s="133"/>
      <c r="O116" s="133"/>
      <c r="P116" s="133"/>
      <c r="Q116" s="133"/>
      <c r="R116" s="134"/>
      <c r="S116" s="137"/>
      <c r="T116" s="133"/>
      <c r="U116" s="138"/>
      <c r="V116" s="139"/>
      <c r="W116" s="139"/>
      <c r="X116" s="140"/>
    </row>
    <row r="117" spans="1:24" s="63" customFormat="1" ht="15.75" customHeight="1">
      <c r="A117" s="132"/>
      <c r="B117" s="133"/>
      <c r="C117" s="133"/>
      <c r="D117" s="133"/>
      <c r="E117" s="133"/>
      <c r="F117" s="133"/>
      <c r="G117" s="133"/>
      <c r="H117" s="133"/>
      <c r="I117" s="133"/>
      <c r="J117" s="133"/>
      <c r="K117" s="134"/>
      <c r="L117" s="135"/>
      <c r="M117" s="136"/>
      <c r="N117" s="133"/>
      <c r="O117" s="133"/>
      <c r="P117" s="133"/>
      <c r="Q117" s="133"/>
      <c r="R117" s="134"/>
      <c r="S117" s="137"/>
      <c r="T117" s="133"/>
      <c r="U117" s="138"/>
      <c r="V117" s="139"/>
      <c r="W117" s="139"/>
      <c r="X117" s="140"/>
    </row>
    <row r="118" spans="1:31" s="63" customFormat="1" ht="15.75" customHeight="1">
      <c r="A118" s="65" t="s">
        <v>83</v>
      </c>
      <c r="B118" s="76" t="s">
        <v>179</v>
      </c>
      <c r="C118" s="66">
        <v>5</v>
      </c>
      <c r="D118" s="66">
        <v>4</v>
      </c>
      <c r="E118" s="66">
        <v>4</v>
      </c>
      <c r="F118" s="66">
        <v>3</v>
      </c>
      <c r="G118" s="66">
        <v>3</v>
      </c>
      <c r="H118" s="66">
        <v>2</v>
      </c>
      <c r="I118" s="66">
        <v>5</v>
      </c>
      <c r="J118" s="66">
        <v>1</v>
      </c>
      <c r="K118" s="67">
        <v>8</v>
      </c>
      <c r="L118" s="68"/>
      <c r="M118" s="69"/>
      <c r="N118" s="66"/>
      <c r="O118" s="66">
        <v>1</v>
      </c>
      <c r="P118" s="141" t="s">
        <v>179</v>
      </c>
      <c r="Q118" s="141" t="s">
        <v>179</v>
      </c>
      <c r="R118" s="141" t="s">
        <v>179</v>
      </c>
      <c r="S118" s="70" t="str">
        <f>VLOOKUP(T118,RW,$Z$259,FALSE)</f>
        <v>-</v>
      </c>
      <c r="T118" s="78">
        <f>VLOOKUP(Q118,Ruestung,$Z$251,FALSE)+IF(R118=1,1,0)</f>
        <v>0</v>
      </c>
      <c r="U118" s="72"/>
      <c r="V118" s="102" t="s">
        <v>179</v>
      </c>
      <c r="W118" s="73">
        <f>IF(B118="-",0,B118)*(80+IF(B119=2,35,0)+IF(V118="-",0,V118)+VLOOKUP(X120,Waffen,$Z$335,FALSE))</f>
        <v>0</v>
      </c>
      <c r="X118" s="79" t="s">
        <v>264</v>
      </c>
      <c r="AC118" s="142"/>
      <c r="AD118" s="143"/>
      <c r="AE118" s="142"/>
    </row>
    <row r="119" spans="1:31" s="63" customFormat="1" ht="15.75" customHeight="1">
      <c r="A119" s="75" t="s">
        <v>249</v>
      </c>
      <c r="B119" s="76">
        <v>1</v>
      </c>
      <c r="C119" s="66"/>
      <c r="D119" s="66"/>
      <c r="E119" s="66"/>
      <c r="F119" s="66"/>
      <c r="G119" s="66"/>
      <c r="H119" s="66"/>
      <c r="I119" s="66"/>
      <c r="J119" s="66"/>
      <c r="K119" s="67"/>
      <c r="L119" s="68"/>
      <c r="M119" s="69"/>
      <c r="N119" s="66"/>
      <c r="O119" s="66"/>
      <c r="P119" s="106"/>
      <c r="Q119" s="66"/>
      <c r="R119" s="67"/>
      <c r="S119" s="107"/>
      <c r="T119" s="66"/>
      <c r="U119" s="72"/>
      <c r="V119" s="73"/>
      <c r="W119" s="73"/>
      <c r="X119" s="79" t="s">
        <v>92</v>
      </c>
      <c r="AB119" s="63" t="e">
        <f>VLOOKUP(AA119,Feen,$Z$294,FALSE)</f>
        <v>#N/A</v>
      </c>
      <c r="AC119" s="142"/>
      <c r="AD119" s="143"/>
      <c r="AE119" s="142"/>
    </row>
    <row r="120" spans="1:31" s="63" customFormat="1" ht="15.75" customHeight="1">
      <c r="A120" s="75"/>
      <c r="B120" s="77"/>
      <c r="C120" s="89"/>
      <c r="D120" s="89"/>
      <c r="E120" s="89"/>
      <c r="F120" s="89"/>
      <c r="G120" s="89"/>
      <c r="H120" s="89"/>
      <c r="I120" s="89"/>
      <c r="J120" s="89"/>
      <c r="K120" s="90"/>
      <c r="L120" s="97"/>
      <c r="M120" s="98"/>
      <c r="N120" s="89"/>
      <c r="O120" s="89"/>
      <c r="P120" s="89"/>
      <c r="Q120" s="89"/>
      <c r="R120" s="90"/>
      <c r="S120" s="70"/>
      <c r="T120" s="89"/>
      <c r="U120" s="93"/>
      <c r="V120" s="94"/>
      <c r="W120" s="94"/>
      <c r="X120" s="104" t="s">
        <v>152</v>
      </c>
      <c r="AC120" s="142"/>
      <c r="AD120" s="143"/>
      <c r="AE120" s="142"/>
    </row>
    <row r="121" spans="1:31" s="63" customFormat="1" ht="15.75" customHeight="1">
      <c r="A121" s="75" t="s">
        <v>139</v>
      </c>
      <c r="B121" s="76">
        <v>1</v>
      </c>
      <c r="C121" s="66" t="str">
        <f>VLOOKUP($A121,Mount,$Z$308,FALSE)</f>
        <v>-</v>
      </c>
      <c r="D121" s="66" t="str">
        <f>VLOOKUP($A121,Mount,$AA$308,FALSE)</f>
        <v>-</v>
      </c>
      <c r="E121" s="66" t="str">
        <f>VLOOKUP($A121,Mount,$AB$308,FALSE)</f>
        <v>-</v>
      </c>
      <c r="F121" s="66" t="str">
        <f>VLOOKUP($A121,Mount,$AC$308,FALSE)</f>
        <v>-</v>
      </c>
      <c r="G121" s="66" t="str">
        <f>VLOOKUP($A121,Mount,$AD$308,FALSE)</f>
        <v>-</v>
      </c>
      <c r="H121" s="66" t="str">
        <f>VLOOKUP($A121,Mount,$AE$308,FALSE)</f>
        <v>-</v>
      </c>
      <c r="I121" s="66" t="str">
        <f>VLOOKUP($A121,Mount,$AF$308,FALSE)</f>
        <v>-</v>
      </c>
      <c r="J121" s="66" t="str">
        <f>VLOOKUP($A121,Mount,$AG$308,FALSE)</f>
        <v>-</v>
      </c>
      <c r="K121" s="67" t="str">
        <f>VLOOKUP($A121,Mount,$AH$308,FALSE)</f>
        <v>-</v>
      </c>
      <c r="L121" s="68"/>
      <c r="M121" s="69"/>
      <c r="N121" s="66"/>
      <c r="O121" s="66">
        <v>1</v>
      </c>
      <c r="P121" s="66" t="s">
        <v>179</v>
      </c>
      <c r="Q121" s="66" t="s">
        <v>179</v>
      </c>
      <c r="R121" s="67" t="s">
        <v>179</v>
      </c>
      <c r="S121" s="70" t="str">
        <f>VLOOKUP($A121,Mount,$AI$308,FALSE)</f>
        <v>-</v>
      </c>
      <c r="T121" s="66"/>
      <c r="U121" s="72" t="str">
        <f>VLOOKUP($A121,Mount,$AJ$308,FALSE)</f>
        <v>-</v>
      </c>
      <c r="V121" s="73"/>
      <c r="W121" s="73">
        <f>IF($B121="-",0,$B121*VLOOKUP($A121,Mount,$AP$308,FALSE))</f>
        <v>0</v>
      </c>
      <c r="X121" s="104" t="str">
        <f>VLOOKUP($A121,Mount,$AK$308,FALSE)</f>
        <v>-</v>
      </c>
      <c r="AC121" s="142"/>
      <c r="AD121" s="143"/>
      <c r="AE121" s="142"/>
    </row>
    <row r="122" spans="1:31" s="63" customFormat="1" ht="15.75" customHeight="1">
      <c r="A122" s="105"/>
      <c r="B122" s="66"/>
      <c r="C122" s="66"/>
      <c r="D122" s="66"/>
      <c r="E122" s="66"/>
      <c r="F122" s="66"/>
      <c r="G122" s="66"/>
      <c r="H122" s="66"/>
      <c r="I122" s="66"/>
      <c r="J122" s="66"/>
      <c r="K122" s="67"/>
      <c r="L122" s="68"/>
      <c r="M122" s="69"/>
      <c r="N122" s="66"/>
      <c r="O122" s="66"/>
      <c r="P122" s="66"/>
      <c r="Q122" s="66"/>
      <c r="R122" s="67"/>
      <c r="S122" s="70"/>
      <c r="T122" s="66"/>
      <c r="U122" s="72"/>
      <c r="V122" s="73"/>
      <c r="W122" s="73"/>
      <c r="X122" s="104" t="str">
        <f>VLOOKUP($A121,Mount,$AL$308,FALSE)</f>
        <v>-</v>
      </c>
      <c r="AC122" s="142"/>
      <c r="AD122" s="143"/>
      <c r="AE122" s="142"/>
    </row>
    <row r="123" spans="1:31" s="63" customFormat="1" ht="15.75" customHeight="1">
      <c r="A123" s="105"/>
      <c r="B123" s="66"/>
      <c r="C123" s="66"/>
      <c r="D123" s="66"/>
      <c r="E123" s="66"/>
      <c r="F123" s="66"/>
      <c r="G123" s="66"/>
      <c r="H123" s="66"/>
      <c r="I123" s="66"/>
      <c r="J123" s="66"/>
      <c r="K123" s="67"/>
      <c r="L123" s="68"/>
      <c r="M123" s="69"/>
      <c r="N123" s="66"/>
      <c r="O123" s="66"/>
      <c r="P123" s="66"/>
      <c r="Q123" s="66"/>
      <c r="R123" s="67"/>
      <c r="S123" s="70"/>
      <c r="T123" s="66"/>
      <c r="U123" s="72"/>
      <c r="V123" s="73"/>
      <c r="W123" s="73"/>
      <c r="X123" s="104" t="str">
        <f>VLOOKUP($A121,Mount,$AM$308,FALSE)</f>
        <v>-</v>
      </c>
      <c r="AC123" s="142"/>
      <c r="AD123" s="143"/>
      <c r="AE123" s="142"/>
    </row>
    <row r="124" spans="1:31" s="63" customFormat="1" ht="15.75" customHeight="1">
      <c r="A124" s="105"/>
      <c r="B124" s="77"/>
      <c r="C124" s="89"/>
      <c r="D124" s="89"/>
      <c r="E124" s="89"/>
      <c r="F124" s="89"/>
      <c r="G124" s="89"/>
      <c r="H124" s="89"/>
      <c r="I124" s="89"/>
      <c r="J124" s="89"/>
      <c r="K124" s="90"/>
      <c r="L124" s="97"/>
      <c r="M124" s="98"/>
      <c r="N124" s="89"/>
      <c r="O124" s="89"/>
      <c r="P124" s="89"/>
      <c r="Q124" s="89"/>
      <c r="R124" s="90"/>
      <c r="S124" s="70"/>
      <c r="T124" s="92"/>
      <c r="U124" s="93"/>
      <c r="V124" s="94"/>
      <c r="W124" s="94"/>
      <c r="X124" s="109"/>
      <c r="AC124" s="142"/>
      <c r="AD124" s="143"/>
      <c r="AE124" s="142"/>
    </row>
    <row r="125" spans="1:31" s="63" customFormat="1" ht="15.75" customHeight="1">
      <c r="A125" s="75"/>
      <c r="B125" s="77"/>
      <c r="C125" s="89"/>
      <c r="D125" s="89"/>
      <c r="E125" s="89"/>
      <c r="F125" s="89"/>
      <c r="G125" s="89"/>
      <c r="H125" s="89"/>
      <c r="I125" s="89"/>
      <c r="J125" s="89"/>
      <c r="K125" s="90"/>
      <c r="L125" s="97"/>
      <c r="M125" s="98"/>
      <c r="N125" s="89"/>
      <c r="O125" s="89"/>
      <c r="P125" s="89"/>
      <c r="Q125" s="89"/>
      <c r="R125" s="90"/>
      <c r="S125" s="70"/>
      <c r="T125" s="92"/>
      <c r="U125" s="93"/>
      <c r="V125" s="94"/>
      <c r="W125" s="94"/>
      <c r="X125" s="109"/>
      <c r="AC125" s="142"/>
      <c r="AD125" s="143"/>
      <c r="AE125" s="142"/>
    </row>
    <row r="126" spans="1:31" s="63" customFormat="1" ht="15.75" customHeight="1">
      <c r="A126" s="65" t="s">
        <v>42</v>
      </c>
      <c r="B126" s="76" t="s">
        <v>179</v>
      </c>
      <c r="C126" s="66">
        <v>5</v>
      </c>
      <c r="D126" s="66">
        <v>8</v>
      </c>
      <c r="E126" s="66">
        <v>6</v>
      </c>
      <c r="F126" s="66">
        <v>4</v>
      </c>
      <c r="G126" s="66">
        <v>3</v>
      </c>
      <c r="H126" s="66">
        <v>2</v>
      </c>
      <c r="I126" s="66">
        <v>8</v>
      </c>
      <c r="J126" s="77" t="s">
        <v>148</v>
      </c>
      <c r="K126" s="67">
        <v>8</v>
      </c>
      <c r="L126" s="88"/>
      <c r="M126" s="69"/>
      <c r="N126" s="66"/>
      <c r="O126" s="66">
        <v>2</v>
      </c>
      <c r="P126" s="66" t="s">
        <v>179</v>
      </c>
      <c r="Q126" s="66" t="s">
        <v>179</v>
      </c>
      <c r="R126" s="67" t="s">
        <v>179</v>
      </c>
      <c r="S126" s="70" t="str">
        <f>VLOOKUP(T126,RW,$Z$259,FALSE)</f>
        <v>-</v>
      </c>
      <c r="T126" s="78">
        <f>VLOOKUP(Q126,Ruestung,$Z$251,FALSE)+IF(R126=1,1,0)</f>
        <v>0</v>
      </c>
      <c r="U126" s="72" t="s">
        <v>56</v>
      </c>
      <c r="V126" s="102" t="s">
        <v>179</v>
      </c>
      <c r="W126" s="73">
        <f>IF(B126="-",0,B126)*(100+IF(B127=1,60,0)+IF(V126="-",0,V126))</f>
        <v>0</v>
      </c>
      <c r="X126" s="79" t="s">
        <v>149</v>
      </c>
      <c r="AC126" s="142"/>
      <c r="AD126" s="143"/>
      <c r="AE126" s="142"/>
    </row>
    <row r="127" spans="1:31" s="63" customFormat="1" ht="15.75" customHeight="1">
      <c r="A127" s="75" t="s">
        <v>249</v>
      </c>
      <c r="B127" s="76" t="s">
        <v>179</v>
      </c>
      <c r="C127" s="144"/>
      <c r="D127" s="144"/>
      <c r="E127" s="144"/>
      <c r="F127" s="144"/>
      <c r="G127" s="144"/>
      <c r="H127" s="144"/>
      <c r="I127" s="144"/>
      <c r="J127" s="144"/>
      <c r="K127" s="145"/>
      <c r="L127" s="146"/>
      <c r="M127" s="147"/>
      <c r="N127" s="144"/>
      <c r="O127" s="144"/>
      <c r="P127" s="144"/>
      <c r="Q127" s="144"/>
      <c r="R127" s="145"/>
      <c r="S127" s="137"/>
      <c r="T127" s="148"/>
      <c r="U127" s="149"/>
      <c r="V127" s="94"/>
      <c r="W127" s="150"/>
      <c r="X127" s="79" t="s">
        <v>157</v>
      </c>
      <c r="AC127" s="142"/>
      <c r="AD127" s="143"/>
      <c r="AE127" s="142"/>
    </row>
    <row r="128" spans="1:31" s="63" customFormat="1" ht="15.75" customHeight="1">
      <c r="A128" s="132"/>
      <c r="B128" s="151"/>
      <c r="C128" s="144"/>
      <c r="D128" s="144"/>
      <c r="E128" s="144"/>
      <c r="F128" s="144"/>
      <c r="G128" s="144"/>
      <c r="H128" s="144"/>
      <c r="I128" s="144"/>
      <c r="J128" s="144"/>
      <c r="K128" s="145"/>
      <c r="L128" s="146"/>
      <c r="M128" s="147"/>
      <c r="N128" s="144"/>
      <c r="O128" s="144"/>
      <c r="P128" s="144"/>
      <c r="Q128" s="144"/>
      <c r="R128" s="145"/>
      <c r="S128" s="137"/>
      <c r="T128" s="148"/>
      <c r="U128" s="149"/>
      <c r="V128" s="94"/>
      <c r="W128" s="150"/>
      <c r="X128" s="79" t="s">
        <v>158</v>
      </c>
      <c r="AC128" s="142"/>
      <c r="AD128" s="143"/>
      <c r="AE128" s="142"/>
    </row>
    <row r="129" spans="1:31" s="63" customFormat="1" ht="15.75" customHeight="1">
      <c r="A129" s="132"/>
      <c r="B129" s="151"/>
      <c r="C129" s="144"/>
      <c r="D129" s="144"/>
      <c r="E129" s="144"/>
      <c r="F129" s="144"/>
      <c r="G129" s="144"/>
      <c r="H129" s="144"/>
      <c r="I129" s="144"/>
      <c r="J129" s="144"/>
      <c r="K129" s="145"/>
      <c r="L129" s="146"/>
      <c r="M129" s="147"/>
      <c r="N129" s="144"/>
      <c r="O129" s="144"/>
      <c r="P129" s="144"/>
      <c r="Q129" s="144"/>
      <c r="R129" s="145"/>
      <c r="S129" s="137"/>
      <c r="T129" s="148"/>
      <c r="U129" s="149"/>
      <c r="V129" s="94"/>
      <c r="W129" s="150"/>
      <c r="X129" s="84" t="s">
        <v>294</v>
      </c>
      <c r="AC129" s="142"/>
      <c r="AD129" s="143"/>
      <c r="AE129" s="142"/>
    </row>
    <row r="130" spans="1:31" s="63" customFormat="1" ht="15.75" customHeight="1">
      <c r="A130" s="132"/>
      <c r="B130" s="151"/>
      <c r="C130" s="144"/>
      <c r="D130" s="144"/>
      <c r="E130" s="144"/>
      <c r="F130" s="144"/>
      <c r="G130" s="144"/>
      <c r="H130" s="144"/>
      <c r="I130" s="144"/>
      <c r="J130" s="144"/>
      <c r="K130" s="145"/>
      <c r="L130" s="146"/>
      <c r="M130" s="147"/>
      <c r="N130" s="144"/>
      <c r="O130" s="144"/>
      <c r="P130" s="144"/>
      <c r="Q130" s="144"/>
      <c r="R130" s="145"/>
      <c r="S130" s="137"/>
      <c r="T130" s="148"/>
      <c r="U130" s="149"/>
      <c r="V130" s="94"/>
      <c r="W130" s="150"/>
      <c r="X130" s="84" t="s">
        <v>295</v>
      </c>
      <c r="AC130" s="142"/>
      <c r="AD130" s="143"/>
      <c r="AE130" s="142"/>
    </row>
    <row r="131" spans="1:31" s="63" customFormat="1" ht="15.75" customHeight="1">
      <c r="A131" s="132"/>
      <c r="B131" s="151"/>
      <c r="C131" s="144"/>
      <c r="D131" s="144"/>
      <c r="E131" s="144"/>
      <c r="F131" s="144"/>
      <c r="G131" s="144"/>
      <c r="H131" s="144"/>
      <c r="I131" s="144"/>
      <c r="J131" s="144"/>
      <c r="K131" s="145"/>
      <c r="L131" s="146"/>
      <c r="M131" s="147"/>
      <c r="N131" s="144"/>
      <c r="O131" s="144"/>
      <c r="P131" s="144"/>
      <c r="Q131" s="144"/>
      <c r="R131" s="145"/>
      <c r="S131" s="137"/>
      <c r="T131" s="148"/>
      <c r="U131" s="149"/>
      <c r="V131" s="94"/>
      <c r="W131" s="150"/>
      <c r="X131" s="79" t="s">
        <v>92</v>
      </c>
      <c r="AC131" s="142"/>
      <c r="AD131" s="143"/>
      <c r="AE131" s="142"/>
    </row>
    <row r="132" spans="1:31" s="63" customFormat="1" ht="15.75" customHeight="1">
      <c r="A132" s="132"/>
      <c r="B132" s="151"/>
      <c r="C132" s="144"/>
      <c r="D132" s="144"/>
      <c r="E132" s="144"/>
      <c r="F132" s="144"/>
      <c r="G132" s="144"/>
      <c r="H132" s="144"/>
      <c r="I132" s="144"/>
      <c r="J132" s="144"/>
      <c r="K132" s="145"/>
      <c r="L132" s="146"/>
      <c r="M132" s="147"/>
      <c r="N132" s="144"/>
      <c r="O132" s="144"/>
      <c r="P132" s="144"/>
      <c r="Q132" s="144"/>
      <c r="R132" s="145"/>
      <c r="S132" s="137"/>
      <c r="T132" s="148"/>
      <c r="U132" s="149"/>
      <c r="V132" s="94"/>
      <c r="W132" s="150"/>
      <c r="X132" s="84"/>
      <c r="AC132" s="142"/>
      <c r="AD132" s="143"/>
      <c r="AE132" s="142"/>
    </row>
    <row r="133" spans="1:31" s="63" customFormat="1" ht="15.75" customHeight="1">
      <c r="A133" s="132"/>
      <c r="B133" s="151"/>
      <c r="C133" s="144"/>
      <c r="D133" s="144"/>
      <c r="E133" s="144"/>
      <c r="F133" s="144"/>
      <c r="G133" s="144"/>
      <c r="H133" s="144"/>
      <c r="I133" s="144"/>
      <c r="J133" s="144"/>
      <c r="K133" s="145"/>
      <c r="L133" s="146"/>
      <c r="M133" s="147"/>
      <c r="N133" s="144"/>
      <c r="O133" s="144"/>
      <c r="P133" s="144"/>
      <c r="Q133" s="144"/>
      <c r="R133" s="145"/>
      <c r="S133" s="137"/>
      <c r="T133" s="148"/>
      <c r="U133" s="149"/>
      <c r="V133" s="94"/>
      <c r="W133" s="150"/>
      <c r="X133" s="84"/>
      <c r="AC133" s="142"/>
      <c r="AD133" s="143"/>
      <c r="AE133" s="142"/>
    </row>
    <row r="134" spans="1:31" s="63" customFormat="1" ht="15.75" customHeight="1">
      <c r="A134" s="65" t="s">
        <v>43</v>
      </c>
      <c r="B134" s="76" t="s">
        <v>179</v>
      </c>
      <c r="C134" s="66">
        <v>5</v>
      </c>
      <c r="D134" s="66">
        <v>6</v>
      </c>
      <c r="E134" s="66">
        <v>7</v>
      </c>
      <c r="F134" s="66">
        <v>4</v>
      </c>
      <c r="G134" s="66">
        <v>3</v>
      </c>
      <c r="H134" s="66">
        <v>2</v>
      </c>
      <c r="I134" s="66">
        <v>7</v>
      </c>
      <c r="J134" s="77" t="s">
        <v>130</v>
      </c>
      <c r="K134" s="67">
        <v>8</v>
      </c>
      <c r="L134" s="88"/>
      <c r="M134" s="69"/>
      <c r="N134" s="66"/>
      <c r="O134" s="118">
        <v>2</v>
      </c>
      <c r="P134" s="141" t="s">
        <v>179</v>
      </c>
      <c r="Q134" s="141" t="s">
        <v>179</v>
      </c>
      <c r="R134" s="141" t="s">
        <v>179</v>
      </c>
      <c r="S134" s="70" t="str">
        <f>VLOOKUP(T134,RW,$Z$259,FALSE)</f>
        <v>-</v>
      </c>
      <c r="T134" s="78">
        <f>VLOOKUP(Q134,Ruestung,$Z$251,FALSE)+IF(R134=1,1,0)</f>
        <v>0</v>
      </c>
      <c r="U134" s="72"/>
      <c r="V134" s="102" t="s">
        <v>179</v>
      </c>
      <c r="W134" s="73">
        <f>IF(B134="-",0,B134)*(90+IF(V134="-",0,V134))</f>
        <v>0</v>
      </c>
      <c r="X134" s="79" t="s">
        <v>223</v>
      </c>
      <c r="AC134" s="142"/>
      <c r="AD134" s="143"/>
      <c r="AE134" s="142"/>
    </row>
    <row r="135" spans="1:31" s="63" customFormat="1" ht="15.75" customHeight="1">
      <c r="A135" s="132"/>
      <c r="B135" s="151"/>
      <c r="C135" s="144"/>
      <c r="D135" s="144"/>
      <c r="E135" s="144"/>
      <c r="F135" s="144"/>
      <c r="G135" s="144"/>
      <c r="H135" s="144"/>
      <c r="I135" s="144"/>
      <c r="J135" s="144"/>
      <c r="K135" s="145"/>
      <c r="L135" s="146"/>
      <c r="M135" s="147"/>
      <c r="N135" s="144"/>
      <c r="O135" s="144"/>
      <c r="P135" s="144"/>
      <c r="Q135" s="144"/>
      <c r="R135" s="145"/>
      <c r="S135" s="137"/>
      <c r="T135" s="148"/>
      <c r="U135" s="149"/>
      <c r="V135" s="150"/>
      <c r="W135" s="150"/>
      <c r="X135" s="79" t="s">
        <v>220</v>
      </c>
      <c r="AC135" s="142"/>
      <c r="AD135" s="143"/>
      <c r="AE135" s="142"/>
    </row>
    <row r="136" spans="1:31" s="63" customFormat="1" ht="15.75" customHeight="1">
      <c r="A136" s="132"/>
      <c r="B136" s="151"/>
      <c r="C136" s="144"/>
      <c r="D136" s="144"/>
      <c r="E136" s="144"/>
      <c r="F136" s="144"/>
      <c r="G136" s="144"/>
      <c r="H136" s="144"/>
      <c r="I136" s="144"/>
      <c r="J136" s="144"/>
      <c r="K136" s="145"/>
      <c r="L136" s="146"/>
      <c r="M136" s="147"/>
      <c r="N136" s="144"/>
      <c r="O136" s="144"/>
      <c r="P136" s="144"/>
      <c r="Q136" s="144"/>
      <c r="R136" s="145"/>
      <c r="S136" s="137"/>
      <c r="T136" s="148"/>
      <c r="U136" s="149"/>
      <c r="V136" s="150"/>
      <c r="W136" s="150"/>
      <c r="X136" s="83" t="s">
        <v>221</v>
      </c>
      <c r="AC136" s="142"/>
      <c r="AD136" s="143"/>
      <c r="AE136" s="142"/>
    </row>
    <row r="137" spans="1:31" s="63" customFormat="1" ht="15.75" customHeight="1">
      <c r="A137" s="132"/>
      <c r="B137" s="151"/>
      <c r="C137" s="144"/>
      <c r="D137" s="144"/>
      <c r="E137" s="144"/>
      <c r="F137" s="144"/>
      <c r="G137" s="144"/>
      <c r="H137" s="144"/>
      <c r="I137" s="144"/>
      <c r="J137" s="144"/>
      <c r="K137" s="145"/>
      <c r="L137" s="146"/>
      <c r="M137" s="147"/>
      <c r="N137" s="144"/>
      <c r="O137" s="144"/>
      <c r="P137" s="144"/>
      <c r="Q137" s="144"/>
      <c r="R137" s="145"/>
      <c r="S137" s="137"/>
      <c r="T137" s="148"/>
      <c r="U137" s="149"/>
      <c r="V137" s="150"/>
      <c r="W137" s="150"/>
      <c r="X137" s="127" t="s">
        <v>222</v>
      </c>
      <c r="AC137" s="142"/>
      <c r="AD137" s="143"/>
      <c r="AE137" s="142"/>
    </row>
    <row r="138" spans="1:31" s="63" customFormat="1" ht="15.75" customHeight="1">
      <c r="A138" s="132"/>
      <c r="B138" s="151"/>
      <c r="C138" s="144"/>
      <c r="D138" s="144"/>
      <c r="E138" s="144"/>
      <c r="F138" s="144"/>
      <c r="G138" s="144"/>
      <c r="H138" s="144"/>
      <c r="I138" s="144"/>
      <c r="J138" s="144"/>
      <c r="K138" s="145"/>
      <c r="L138" s="146"/>
      <c r="M138" s="147"/>
      <c r="N138" s="144"/>
      <c r="O138" s="144"/>
      <c r="P138" s="144"/>
      <c r="Q138" s="144"/>
      <c r="R138" s="145"/>
      <c r="S138" s="137"/>
      <c r="T138" s="148"/>
      <c r="U138" s="149"/>
      <c r="V138" s="150"/>
      <c r="W138" s="150"/>
      <c r="X138" s="79" t="s">
        <v>89</v>
      </c>
      <c r="AC138" s="142"/>
      <c r="AD138" s="143"/>
      <c r="AE138" s="142"/>
    </row>
    <row r="139" spans="1:31" s="63" customFormat="1" ht="15.75" customHeight="1">
      <c r="A139" s="65"/>
      <c r="B139" s="77"/>
      <c r="C139" s="89"/>
      <c r="D139" s="89"/>
      <c r="E139" s="89"/>
      <c r="F139" s="89"/>
      <c r="G139" s="89"/>
      <c r="H139" s="89"/>
      <c r="I139" s="89"/>
      <c r="J139" s="89"/>
      <c r="K139" s="90"/>
      <c r="L139" s="97"/>
      <c r="M139" s="98"/>
      <c r="N139" s="89"/>
      <c r="O139" s="89"/>
      <c r="P139" s="89"/>
      <c r="Q139" s="89"/>
      <c r="R139" s="90"/>
      <c r="S139" s="70"/>
      <c r="T139" s="92"/>
      <c r="U139" s="93"/>
      <c r="V139" s="94"/>
      <c r="W139" s="94"/>
      <c r="X139" s="109"/>
      <c r="AC139" s="142"/>
      <c r="AD139" s="143"/>
      <c r="AE139" s="142"/>
    </row>
    <row r="140" spans="1:31" s="63" customFormat="1" ht="15.75" customHeight="1">
      <c r="A140" s="75"/>
      <c r="B140" s="77"/>
      <c r="C140" s="89"/>
      <c r="D140" s="89"/>
      <c r="E140" s="89"/>
      <c r="F140" s="89"/>
      <c r="G140" s="89"/>
      <c r="H140" s="89"/>
      <c r="I140" s="89"/>
      <c r="J140" s="89"/>
      <c r="K140" s="90"/>
      <c r="L140" s="97"/>
      <c r="M140" s="98"/>
      <c r="N140" s="89"/>
      <c r="O140" s="89"/>
      <c r="P140" s="89"/>
      <c r="Q140" s="89"/>
      <c r="R140" s="90"/>
      <c r="S140" s="70"/>
      <c r="T140" s="92"/>
      <c r="U140" s="93"/>
      <c r="V140" s="94"/>
      <c r="W140" s="94"/>
      <c r="X140" s="109"/>
      <c r="AC140" s="142"/>
      <c r="AD140" s="143"/>
      <c r="AE140" s="142"/>
    </row>
    <row r="141" spans="1:31" s="63" customFormat="1" ht="15.75" customHeight="1">
      <c r="A141" s="75" t="s">
        <v>80</v>
      </c>
      <c r="B141" s="76" t="s">
        <v>179</v>
      </c>
      <c r="C141" s="66">
        <v>5</v>
      </c>
      <c r="D141" s="66">
        <v>6</v>
      </c>
      <c r="E141" s="66">
        <v>6</v>
      </c>
      <c r="F141" s="66">
        <v>4</v>
      </c>
      <c r="G141" s="66">
        <v>4</v>
      </c>
      <c r="H141" s="66">
        <v>2</v>
      </c>
      <c r="I141" s="66">
        <v>7</v>
      </c>
      <c r="J141" s="66">
        <v>3</v>
      </c>
      <c r="K141" s="67">
        <v>9</v>
      </c>
      <c r="L141" s="68"/>
      <c r="M141" s="69"/>
      <c r="N141" s="66"/>
      <c r="O141" s="66">
        <v>1</v>
      </c>
      <c r="P141" s="141" t="s">
        <v>179</v>
      </c>
      <c r="Q141" s="141" t="s">
        <v>179</v>
      </c>
      <c r="R141" s="141" t="s">
        <v>179</v>
      </c>
      <c r="S141" s="70"/>
      <c r="T141" s="81"/>
      <c r="U141" s="72" t="s">
        <v>56</v>
      </c>
      <c r="V141" s="73"/>
      <c r="W141" s="73">
        <f>IF(B141="-",0,B141)*(75)</f>
        <v>0</v>
      </c>
      <c r="X141" s="79" t="s">
        <v>90</v>
      </c>
      <c r="AC141" s="142"/>
      <c r="AD141" s="143"/>
      <c r="AE141" s="142"/>
    </row>
    <row r="142" spans="1:31" s="63" customFormat="1" ht="15.75" customHeight="1">
      <c r="A142" s="75" t="s">
        <v>249</v>
      </c>
      <c r="B142" s="66">
        <v>1</v>
      </c>
      <c r="C142" s="77"/>
      <c r="D142" s="66"/>
      <c r="E142" s="66"/>
      <c r="F142" s="66"/>
      <c r="G142" s="66"/>
      <c r="H142" s="66"/>
      <c r="I142" s="66"/>
      <c r="J142" s="66"/>
      <c r="K142" s="67"/>
      <c r="L142" s="68"/>
      <c r="M142" s="69"/>
      <c r="N142" s="66"/>
      <c r="O142" s="66"/>
      <c r="P142" s="66"/>
      <c r="Q142" s="77"/>
      <c r="R142" s="67"/>
      <c r="S142" s="70"/>
      <c r="T142" s="81"/>
      <c r="U142" s="72"/>
      <c r="V142" s="73"/>
      <c r="W142" s="73"/>
      <c r="X142" s="79" t="s">
        <v>91</v>
      </c>
      <c r="AC142" s="142"/>
      <c r="AD142" s="143"/>
      <c r="AE142" s="142"/>
    </row>
    <row r="143" spans="1:31" s="63" customFormat="1" ht="15.75" customHeight="1">
      <c r="A143" s="75"/>
      <c r="B143" s="77"/>
      <c r="C143" s="77"/>
      <c r="D143" s="66"/>
      <c r="E143" s="66"/>
      <c r="F143" s="66"/>
      <c r="G143" s="66"/>
      <c r="H143" s="66"/>
      <c r="I143" s="66"/>
      <c r="J143" s="66"/>
      <c r="K143" s="67"/>
      <c r="L143" s="68"/>
      <c r="M143" s="69"/>
      <c r="N143" s="66"/>
      <c r="O143" s="66"/>
      <c r="P143" s="66"/>
      <c r="Q143" s="77"/>
      <c r="R143" s="67"/>
      <c r="S143" s="70"/>
      <c r="T143" s="81"/>
      <c r="U143" s="72"/>
      <c r="V143" s="73"/>
      <c r="W143" s="73"/>
      <c r="X143" s="79" t="s">
        <v>92</v>
      </c>
      <c r="AC143" s="142"/>
      <c r="AD143" s="143"/>
      <c r="AE143" s="142"/>
    </row>
    <row r="144" spans="1:31" s="63" customFormat="1" ht="15.75" customHeight="1">
      <c r="A144" s="75"/>
      <c r="B144" s="77"/>
      <c r="C144" s="77"/>
      <c r="D144" s="66"/>
      <c r="E144" s="66"/>
      <c r="F144" s="66"/>
      <c r="G144" s="66"/>
      <c r="H144" s="66"/>
      <c r="I144" s="66"/>
      <c r="J144" s="66"/>
      <c r="K144" s="67"/>
      <c r="L144" s="68"/>
      <c r="M144" s="69"/>
      <c r="N144" s="66"/>
      <c r="O144" s="66"/>
      <c r="P144" s="66"/>
      <c r="Q144" s="77"/>
      <c r="R144" s="67"/>
      <c r="S144" s="70"/>
      <c r="T144" s="81"/>
      <c r="U144" s="72"/>
      <c r="V144" s="73"/>
      <c r="W144" s="73"/>
      <c r="X144" s="84"/>
      <c r="AC144" s="142"/>
      <c r="AD144" s="143"/>
      <c r="AE144" s="142"/>
    </row>
    <row r="145" spans="1:31" s="63" customFormat="1" ht="15.75" customHeight="1">
      <c r="A145" s="75"/>
      <c r="B145" s="77"/>
      <c r="C145" s="77"/>
      <c r="D145" s="66"/>
      <c r="E145" s="66"/>
      <c r="F145" s="66"/>
      <c r="G145" s="66"/>
      <c r="H145" s="66"/>
      <c r="I145" s="66"/>
      <c r="J145" s="66"/>
      <c r="K145" s="67"/>
      <c r="L145" s="68"/>
      <c r="M145" s="69"/>
      <c r="N145" s="66"/>
      <c r="O145" s="66"/>
      <c r="P145" s="66"/>
      <c r="Q145" s="77"/>
      <c r="R145" s="67"/>
      <c r="S145" s="70"/>
      <c r="T145" s="81"/>
      <c r="U145" s="72"/>
      <c r="V145" s="73"/>
      <c r="W145" s="73"/>
      <c r="X145" s="84"/>
      <c r="AC145" s="142"/>
      <c r="AD145" s="143"/>
      <c r="AE145" s="142"/>
    </row>
    <row r="146" spans="1:28" s="63" customFormat="1" ht="24.75" customHeight="1">
      <c r="A146" s="152" t="s">
        <v>51</v>
      </c>
      <c r="B146" s="153" t="s">
        <v>54</v>
      </c>
      <c r="C146" s="154" t="s">
        <v>309</v>
      </c>
      <c r="D146" s="154" t="s">
        <v>190</v>
      </c>
      <c r="E146" s="154" t="s">
        <v>191</v>
      </c>
      <c r="F146" s="154" t="s">
        <v>250</v>
      </c>
      <c r="G146" s="154" t="s">
        <v>310</v>
      </c>
      <c r="H146" s="154" t="s">
        <v>192</v>
      </c>
      <c r="I146" s="154" t="s">
        <v>193</v>
      </c>
      <c r="J146" s="154" t="s">
        <v>194</v>
      </c>
      <c r="K146" s="154" t="s">
        <v>195</v>
      </c>
      <c r="L146" s="155"/>
      <c r="M146" s="154" t="s">
        <v>163</v>
      </c>
      <c r="N146" s="154" t="s">
        <v>164</v>
      </c>
      <c r="O146" s="154" t="s">
        <v>127</v>
      </c>
      <c r="P146" s="154" t="s">
        <v>247</v>
      </c>
      <c r="Q146" s="154" t="s">
        <v>187</v>
      </c>
      <c r="R146" s="154" t="s">
        <v>189</v>
      </c>
      <c r="S146" s="156" t="s">
        <v>114</v>
      </c>
      <c r="T146" s="154"/>
      <c r="U146" s="157" t="s">
        <v>188</v>
      </c>
      <c r="V146" s="38" t="s">
        <v>171</v>
      </c>
      <c r="W146" s="158" t="s">
        <v>52</v>
      </c>
      <c r="X146" s="157" t="s">
        <v>203</v>
      </c>
      <c r="Z146" s="64" t="s">
        <v>302</v>
      </c>
      <c r="AA146" s="64">
        <f>SUM(W147:W171)</f>
        <v>0</v>
      </c>
      <c r="AB146" s="64" t="s">
        <v>52</v>
      </c>
    </row>
    <row r="147" spans="1:24" s="63" customFormat="1" ht="15.75" customHeight="1">
      <c r="A147" s="65"/>
      <c r="B147" s="118"/>
      <c r="C147" s="66"/>
      <c r="D147" s="66"/>
      <c r="E147" s="66"/>
      <c r="F147" s="66"/>
      <c r="G147" s="66"/>
      <c r="H147" s="66"/>
      <c r="I147" s="66"/>
      <c r="J147" s="66"/>
      <c r="K147" s="67"/>
      <c r="L147" s="88"/>
      <c r="M147" s="69"/>
      <c r="N147" s="66"/>
      <c r="O147" s="66"/>
      <c r="P147" s="66"/>
      <c r="Q147" s="66"/>
      <c r="R147" s="67"/>
      <c r="S147" s="70"/>
      <c r="T147" s="71"/>
      <c r="U147" s="72"/>
      <c r="V147" s="73"/>
      <c r="W147" s="73"/>
      <c r="X147" s="79"/>
    </row>
    <row r="148" spans="1:24" s="63" customFormat="1" ht="15.75" customHeight="1">
      <c r="A148" s="75" t="s">
        <v>70</v>
      </c>
      <c r="B148" s="76" t="s">
        <v>179</v>
      </c>
      <c r="C148" s="66">
        <v>5</v>
      </c>
      <c r="D148" s="66">
        <v>4</v>
      </c>
      <c r="E148" s="66">
        <v>4</v>
      </c>
      <c r="F148" s="66">
        <v>3</v>
      </c>
      <c r="G148" s="66">
        <v>3</v>
      </c>
      <c r="H148" s="66">
        <v>1</v>
      </c>
      <c r="I148" s="66">
        <v>5</v>
      </c>
      <c r="J148" s="66">
        <v>1</v>
      </c>
      <c r="K148" s="67">
        <v>8</v>
      </c>
      <c r="L148" s="88"/>
      <c r="M148" s="159" t="s">
        <v>179</v>
      </c>
      <c r="N148" s="76" t="s">
        <v>179</v>
      </c>
      <c r="O148" s="66">
        <v>1</v>
      </c>
      <c r="P148" s="66" t="s">
        <v>179</v>
      </c>
      <c r="Q148" s="118" t="s">
        <v>179</v>
      </c>
      <c r="R148" s="118" t="s">
        <v>179</v>
      </c>
      <c r="S148" s="70" t="str">
        <f>VLOOKUP(T148,RW,$Z$259,FALSE)</f>
        <v>-</v>
      </c>
      <c r="T148" s="78">
        <f>VLOOKUP(Q148,Ruestung,$Z$251,FALSE)+IF(R148=1,1,0)</f>
        <v>0</v>
      </c>
      <c r="U148" s="72"/>
      <c r="V148" s="102" t="s">
        <v>179</v>
      </c>
      <c r="W148" s="73">
        <f>(IF(B148="-",0,B148)*(11+VLOOKUP(X151,Pfeile,Z324,FALSE)))+IF(M148="-",0,M148*10)+IF(N148="-",0,N148*10)+IF(V148="-",0,V148)</f>
        <v>0</v>
      </c>
      <c r="X148" s="79" t="s">
        <v>145</v>
      </c>
    </row>
    <row r="149" spans="1:24" s="63" customFormat="1" ht="15.75" customHeight="1">
      <c r="A149" s="75" t="s">
        <v>36</v>
      </c>
      <c r="B149" s="76" t="s">
        <v>179</v>
      </c>
      <c r="C149" s="66">
        <v>5</v>
      </c>
      <c r="D149" s="66">
        <v>4</v>
      </c>
      <c r="E149" s="66">
        <v>5</v>
      </c>
      <c r="F149" s="66">
        <v>3</v>
      </c>
      <c r="G149" s="66">
        <v>3</v>
      </c>
      <c r="H149" s="66">
        <v>1</v>
      </c>
      <c r="I149" s="66">
        <v>5</v>
      </c>
      <c r="J149" s="66">
        <v>1</v>
      </c>
      <c r="K149" s="67">
        <v>8</v>
      </c>
      <c r="L149" s="88"/>
      <c r="M149" s="69"/>
      <c r="N149" s="66"/>
      <c r="O149" s="66">
        <v>1</v>
      </c>
      <c r="P149" s="118" t="str">
        <f>P148</f>
        <v>-</v>
      </c>
      <c r="Q149" s="118" t="str">
        <f>Q148</f>
        <v>-</v>
      </c>
      <c r="R149" s="118" t="str">
        <f>R148</f>
        <v>-</v>
      </c>
      <c r="S149" s="70" t="str">
        <f>VLOOKUP(T149,RW,$Z$259,FALSE)</f>
        <v>-</v>
      </c>
      <c r="T149" s="78">
        <f>VLOOKUP(Q149,Ruestung,$Z$251,FALSE)+IF(R149=1,1,0)</f>
        <v>0</v>
      </c>
      <c r="U149" s="72"/>
      <c r="V149" s="73"/>
      <c r="W149" s="73">
        <f>IF(B149="-",0,B149)*(21+VLOOKUP(X151,Pfeile,Z324,FALSE))</f>
        <v>0</v>
      </c>
      <c r="X149" s="79" t="s">
        <v>220</v>
      </c>
    </row>
    <row r="150" spans="1:24" s="63" customFormat="1" ht="15.75" customHeight="1">
      <c r="A150" s="75"/>
      <c r="B150" s="66"/>
      <c r="C150" s="66"/>
      <c r="D150" s="66"/>
      <c r="E150" s="66"/>
      <c r="F150" s="77"/>
      <c r="G150" s="66"/>
      <c r="H150" s="66"/>
      <c r="I150" s="66"/>
      <c r="J150" s="66"/>
      <c r="K150" s="67"/>
      <c r="L150" s="88"/>
      <c r="M150" s="69"/>
      <c r="N150" s="66"/>
      <c r="O150" s="66"/>
      <c r="P150" s="118"/>
      <c r="Q150" s="118"/>
      <c r="R150" s="160"/>
      <c r="S150" s="70"/>
      <c r="T150" s="161"/>
      <c r="U150" s="72"/>
      <c r="V150" s="73"/>
      <c r="W150" s="73"/>
      <c r="X150" s="124" t="s">
        <v>293</v>
      </c>
    </row>
    <row r="151" spans="1:24" s="63" customFormat="1" ht="15.75" customHeight="1">
      <c r="A151" s="75"/>
      <c r="B151" s="66"/>
      <c r="C151" s="66"/>
      <c r="D151" s="66"/>
      <c r="E151" s="66"/>
      <c r="F151" s="77"/>
      <c r="G151" s="66"/>
      <c r="H151" s="66"/>
      <c r="I151" s="66"/>
      <c r="J151" s="66"/>
      <c r="K151" s="67"/>
      <c r="L151" s="88"/>
      <c r="M151" s="69"/>
      <c r="N151" s="66"/>
      <c r="O151" s="66"/>
      <c r="P151" s="118"/>
      <c r="Q151" s="118"/>
      <c r="R151" s="160"/>
      <c r="S151" s="70"/>
      <c r="T151" s="161"/>
      <c r="U151" s="72"/>
      <c r="V151" s="73"/>
      <c r="W151" s="73"/>
      <c r="X151" s="104" t="s">
        <v>305</v>
      </c>
    </row>
    <row r="152" spans="1:24" s="63" customFormat="1" ht="15.75" customHeight="1">
      <c r="A152" s="75"/>
      <c r="B152" s="66"/>
      <c r="C152" s="66"/>
      <c r="D152" s="66"/>
      <c r="E152" s="66"/>
      <c r="F152" s="77"/>
      <c r="G152" s="66"/>
      <c r="H152" s="66"/>
      <c r="I152" s="66"/>
      <c r="J152" s="66"/>
      <c r="K152" s="67"/>
      <c r="L152" s="88"/>
      <c r="M152" s="69"/>
      <c r="N152" s="66"/>
      <c r="O152" s="66"/>
      <c r="P152" s="118"/>
      <c r="Q152" s="118"/>
      <c r="R152" s="160"/>
      <c r="S152" s="70"/>
      <c r="T152" s="161"/>
      <c r="U152" s="72"/>
      <c r="V152" s="73"/>
      <c r="W152" s="73"/>
      <c r="X152" s="104" t="str">
        <f>VLOOKUP(X151,Pfeile,$Y$324,FALSE)</f>
        <v>-</v>
      </c>
    </row>
    <row r="153" spans="1:24" s="63" customFormat="1" ht="15.75" customHeight="1">
      <c r="A153" s="75"/>
      <c r="B153" s="66"/>
      <c r="C153" s="66"/>
      <c r="D153" s="66"/>
      <c r="E153" s="66"/>
      <c r="F153" s="77"/>
      <c r="G153" s="66"/>
      <c r="H153" s="66"/>
      <c r="I153" s="66"/>
      <c r="J153" s="66"/>
      <c r="K153" s="67"/>
      <c r="L153" s="88"/>
      <c r="M153" s="69"/>
      <c r="N153" s="66"/>
      <c r="O153" s="66"/>
      <c r="P153" s="118"/>
      <c r="Q153" s="118"/>
      <c r="R153" s="160"/>
      <c r="S153" s="70"/>
      <c r="T153" s="161"/>
      <c r="U153" s="72"/>
      <c r="V153" s="73"/>
      <c r="W153" s="73"/>
      <c r="X153" s="84"/>
    </row>
    <row r="154" spans="1:24" s="63" customFormat="1" ht="15.75" customHeight="1">
      <c r="A154" s="75"/>
      <c r="B154" s="66"/>
      <c r="C154" s="66"/>
      <c r="D154" s="66"/>
      <c r="E154" s="66"/>
      <c r="F154" s="77"/>
      <c r="G154" s="66"/>
      <c r="H154" s="66"/>
      <c r="I154" s="66"/>
      <c r="J154" s="66"/>
      <c r="K154" s="67"/>
      <c r="L154" s="88"/>
      <c r="M154" s="69"/>
      <c r="N154" s="66"/>
      <c r="O154" s="66"/>
      <c r="P154" s="118"/>
      <c r="Q154" s="118"/>
      <c r="R154" s="160"/>
      <c r="S154" s="70"/>
      <c r="T154" s="161"/>
      <c r="U154" s="72"/>
      <c r="V154" s="73"/>
      <c r="W154" s="73"/>
      <c r="X154" s="84"/>
    </row>
    <row r="155" spans="1:24" s="63" customFormat="1" ht="15.75" customHeight="1">
      <c r="A155" s="65" t="s">
        <v>72</v>
      </c>
      <c r="B155" s="76" t="s">
        <v>179</v>
      </c>
      <c r="C155" s="66">
        <v>5</v>
      </c>
      <c r="D155" s="66">
        <v>5</v>
      </c>
      <c r="E155" s="66">
        <v>4</v>
      </c>
      <c r="F155" s="66">
        <v>3</v>
      </c>
      <c r="G155" s="66">
        <v>3</v>
      </c>
      <c r="H155" s="66">
        <v>1</v>
      </c>
      <c r="I155" s="66">
        <v>5</v>
      </c>
      <c r="J155" s="66">
        <v>1</v>
      </c>
      <c r="K155" s="67">
        <v>9</v>
      </c>
      <c r="L155" s="88"/>
      <c r="M155" s="159" t="s">
        <v>179</v>
      </c>
      <c r="N155" s="76" t="s">
        <v>179</v>
      </c>
      <c r="O155" s="66">
        <v>1</v>
      </c>
      <c r="P155" s="66" t="s">
        <v>179</v>
      </c>
      <c r="Q155" s="118" t="s">
        <v>198</v>
      </c>
      <c r="R155" s="101">
        <v>1</v>
      </c>
      <c r="S155" s="70" t="s">
        <v>126</v>
      </c>
      <c r="T155" s="78">
        <f>VLOOKUP(Q155,Ruestung,$Z$251,FALSE)+IF(R155=1,1,0)</f>
        <v>2</v>
      </c>
      <c r="U155" s="72"/>
      <c r="V155" s="102" t="s">
        <v>179</v>
      </c>
      <c r="W155" s="73">
        <f>(IF(B155="-",0,B155)*(11+IF(R155=1,1,0)))+IF(M155="-",0,M155*10)+IF(N155="-",0,N155*10)+IF(V155="-",0,V155)</f>
        <v>0</v>
      </c>
      <c r="X155" s="79" t="s">
        <v>292</v>
      </c>
    </row>
    <row r="156" spans="1:24" s="63" customFormat="1" ht="15.75" customHeight="1">
      <c r="A156" s="75" t="s">
        <v>33</v>
      </c>
      <c r="B156" s="76" t="s">
        <v>179</v>
      </c>
      <c r="C156" s="66">
        <v>5</v>
      </c>
      <c r="D156" s="66">
        <v>5</v>
      </c>
      <c r="E156" s="66">
        <v>4</v>
      </c>
      <c r="F156" s="66">
        <v>3</v>
      </c>
      <c r="G156" s="66">
        <v>3</v>
      </c>
      <c r="H156" s="66">
        <v>1</v>
      </c>
      <c r="I156" s="66">
        <v>5</v>
      </c>
      <c r="J156" s="66">
        <v>2</v>
      </c>
      <c r="K156" s="67">
        <v>9</v>
      </c>
      <c r="L156" s="88"/>
      <c r="M156" s="69"/>
      <c r="N156" s="66"/>
      <c r="O156" s="66">
        <f>O155</f>
        <v>1</v>
      </c>
      <c r="P156" s="118" t="str">
        <f>P155</f>
        <v>-</v>
      </c>
      <c r="Q156" s="118" t="str">
        <f>Q155</f>
        <v>L</v>
      </c>
      <c r="R156" s="118">
        <f>R155</f>
        <v>1</v>
      </c>
      <c r="S156" s="70" t="s">
        <v>126</v>
      </c>
      <c r="T156" s="78">
        <f>VLOOKUP(Q156,Ruestung,$Z$251,FALSE)+IF(R156=1,1,0)</f>
        <v>2</v>
      </c>
      <c r="U156" s="72"/>
      <c r="V156" s="73"/>
      <c r="W156" s="73">
        <f>IF(B156="-",0,B156)*(21+IF(R156=1,1,0))</f>
        <v>0</v>
      </c>
      <c r="X156" s="79" t="s">
        <v>296</v>
      </c>
    </row>
    <row r="157" spans="1:24" s="63" customFormat="1" ht="15.75" customHeight="1">
      <c r="A157" s="65"/>
      <c r="B157" s="66"/>
      <c r="C157" s="66"/>
      <c r="D157" s="66"/>
      <c r="E157" s="66"/>
      <c r="F157" s="77"/>
      <c r="G157" s="66"/>
      <c r="H157" s="66"/>
      <c r="I157" s="66"/>
      <c r="J157" s="66"/>
      <c r="K157" s="67"/>
      <c r="L157" s="88"/>
      <c r="M157" s="69"/>
      <c r="N157" s="66"/>
      <c r="O157" s="66"/>
      <c r="P157" s="118"/>
      <c r="Q157" s="118"/>
      <c r="R157" s="160"/>
      <c r="S157" s="70"/>
      <c r="T157" s="161"/>
      <c r="U157" s="72"/>
      <c r="V157" s="73"/>
      <c r="W157" s="73"/>
      <c r="X157" s="84"/>
    </row>
    <row r="158" spans="1:24" s="63" customFormat="1" ht="15.75" customHeight="1">
      <c r="A158" s="75"/>
      <c r="B158" s="66"/>
      <c r="C158" s="66"/>
      <c r="D158" s="66"/>
      <c r="E158" s="66"/>
      <c r="F158" s="77"/>
      <c r="G158" s="66"/>
      <c r="H158" s="66"/>
      <c r="I158" s="66"/>
      <c r="J158" s="66"/>
      <c r="K158" s="67"/>
      <c r="L158" s="88"/>
      <c r="M158" s="69"/>
      <c r="N158" s="66"/>
      <c r="O158" s="66"/>
      <c r="P158" s="118"/>
      <c r="Q158" s="118"/>
      <c r="R158" s="160"/>
      <c r="S158" s="70"/>
      <c r="T158" s="161"/>
      <c r="U158" s="72"/>
      <c r="V158" s="73"/>
      <c r="W158" s="73"/>
      <c r="X158" s="84"/>
    </row>
    <row r="159" spans="1:24" s="63" customFormat="1" ht="15.75" customHeight="1">
      <c r="A159" s="75" t="s">
        <v>74</v>
      </c>
      <c r="B159" s="76" t="s">
        <v>179</v>
      </c>
      <c r="C159" s="66">
        <v>5</v>
      </c>
      <c r="D159" s="66">
        <v>4</v>
      </c>
      <c r="E159" s="66">
        <v>4</v>
      </c>
      <c r="F159" s="77" t="s">
        <v>124</v>
      </c>
      <c r="G159" s="66">
        <v>3</v>
      </c>
      <c r="H159" s="66">
        <v>1</v>
      </c>
      <c r="I159" s="66">
        <v>5</v>
      </c>
      <c r="J159" s="66">
        <v>1</v>
      </c>
      <c r="K159" s="67">
        <v>8</v>
      </c>
      <c r="L159" s="88"/>
      <c r="M159" s="159" t="s">
        <v>179</v>
      </c>
      <c r="N159" s="76" t="s">
        <v>179</v>
      </c>
      <c r="O159" s="66">
        <v>1</v>
      </c>
      <c r="P159" s="66" t="s">
        <v>179</v>
      </c>
      <c r="Q159" s="66" t="s">
        <v>179</v>
      </c>
      <c r="R159" s="66" t="s">
        <v>179</v>
      </c>
      <c r="S159" s="70" t="str">
        <f>VLOOKUP(T159,RWKavallerie,$AB$259,FALSE)</f>
        <v>6+</v>
      </c>
      <c r="T159" s="78">
        <f>VLOOKUP(Q159,RuestungKavallerie2,$AB$251,FALSE)+IF(R159=1,1,0)+IF(Q161="RH",1,0)</f>
        <v>1</v>
      </c>
      <c r="U159" s="72"/>
      <c r="V159" s="102" t="s">
        <v>179</v>
      </c>
      <c r="W159" s="73">
        <f>(IF(B159="-",0,B159)*(19+VLOOKUP(X164,Pfeile,Z324,FALSE)))+IF(M159="-",0,M159*10)+IF(N159="-",0,N159*10)+IF(V159="-",0,V159)</f>
        <v>0</v>
      </c>
      <c r="X159" s="79" t="s">
        <v>143</v>
      </c>
    </row>
    <row r="160" spans="1:24" s="63" customFormat="1" ht="15.75" customHeight="1">
      <c r="A160" s="75" t="s">
        <v>34</v>
      </c>
      <c r="B160" s="76" t="s">
        <v>179</v>
      </c>
      <c r="C160" s="66">
        <v>5</v>
      </c>
      <c r="D160" s="66">
        <v>4</v>
      </c>
      <c r="E160" s="66">
        <v>5</v>
      </c>
      <c r="F160" s="77" t="s">
        <v>124</v>
      </c>
      <c r="G160" s="66">
        <v>3</v>
      </c>
      <c r="H160" s="66">
        <v>1</v>
      </c>
      <c r="I160" s="66">
        <v>5</v>
      </c>
      <c r="J160" s="66">
        <v>1</v>
      </c>
      <c r="K160" s="67">
        <v>8</v>
      </c>
      <c r="L160" s="88"/>
      <c r="M160" s="69"/>
      <c r="N160" s="66"/>
      <c r="O160" s="66">
        <v>1</v>
      </c>
      <c r="P160" s="118" t="str">
        <f>P159</f>
        <v>-</v>
      </c>
      <c r="Q160" s="66" t="str">
        <f>Q159</f>
        <v>-</v>
      </c>
      <c r="R160" s="160" t="str">
        <f>R159</f>
        <v>-</v>
      </c>
      <c r="S160" s="70" t="str">
        <f>VLOOKUP(T160,RWKavallerie,$AB$259,FALSE)</f>
        <v>6+</v>
      </c>
      <c r="T160" s="78">
        <f>VLOOKUP(Q160,RuestungKavallerie2,$AB$251,FALSE)+IF(R160=1,1,0)+IF(Q161="RH",1,0)</f>
        <v>1</v>
      </c>
      <c r="U160" s="72"/>
      <c r="V160" s="73"/>
      <c r="W160" s="73">
        <f>IF(B160="-",0,B160)*(29+VLOOKUP(X164,Pfeile,Z324,FALSE))</f>
        <v>0</v>
      </c>
      <c r="X160" s="85" t="s">
        <v>144</v>
      </c>
    </row>
    <row r="161" spans="1:24" s="63" customFormat="1" ht="15.75" customHeight="1">
      <c r="A161" s="75" t="s">
        <v>67</v>
      </c>
      <c r="B161" s="118" t="str">
        <f>IF(B160="-",B159,B159+B160)</f>
        <v>-</v>
      </c>
      <c r="C161" s="66">
        <v>9</v>
      </c>
      <c r="D161" s="66">
        <v>3</v>
      </c>
      <c r="E161" s="66">
        <v>0</v>
      </c>
      <c r="F161" s="66">
        <v>3</v>
      </c>
      <c r="G161" s="66">
        <v>3</v>
      </c>
      <c r="H161" s="66">
        <v>1</v>
      </c>
      <c r="I161" s="66">
        <v>4</v>
      </c>
      <c r="J161" s="66">
        <v>1</v>
      </c>
      <c r="K161" s="67">
        <v>5</v>
      </c>
      <c r="L161" s="88"/>
      <c r="M161" s="69"/>
      <c r="N161" s="66"/>
      <c r="O161" s="66"/>
      <c r="P161" s="118"/>
      <c r="Q161" s="66"/>
      <c r="R161" s="160"/>
      <c r="S161" s="70"/>
      <c r="T161" s="78">
        <f>VLOOKUP(Q159,RuestungKavallerie2,$AB$251,FALSE)+IF(R159=1,1,0)+IF(Q161="RH",1,0)</f>
        <v>1</v>
      </c>
      <c r="U161" s="72"/>
      <c r="V161" s="73"/>
      <c r="W161" s="73"/>
      <c r="X161" s="79" t="s">
        <v>220</v>
      </c>
    </row>
    <row r="162" spans="1:24" s="63" customFormat="1" ht="15.75" customHeight="1">
      <c r="A162" s="75"/>
      <c r="B162" s="118"/>
      <c r="C162" s="66"/>
      <c r="D162" s="66"/>
      <c r="E162" s="66"/>
      <c r="F162" s="66"/>
      <c r="G162" s="66"/>
      <c r="H162" s="66"/>
      <c r="I162" s="66"/>
      <c r="J162" s="66"/>
      <c r="K162" s="67"/>
      <c r="L162" s="88"/>
      <c r="M162" s="69"/>
      <c r="N162" s="66"/>
      <c r="O162" s="66"/>
      <c r="P162" s="118"/>
      <c r="Q162" s="66"/>
      <c r="R162" s="160"/>
      <c r="S162" s="70"/>
      <c r="T162" s="161"/>
      <c r="U162" s="72"/>
      <c r="V162" s="73"/>
      <c r="W162" s="73"/>
      <c r="X162" s="124" t="s">
        <v>293</v>
      </c>
    </row>
    <row r="163" spans="1:24" s="63" customFormat="1" ht="15.75" customHeight="1">
      <c r="A163" s="75"/>
      <c r="B163" s="66"/>
      <c r="C163" s="66"/>
      <c r="D163" s="66"/>
      <c r="E163" s="66"/>
      <c r="F163" s="66"/>
      <c r="G163" s="66"/>
      <c r="H163" s="66"/>
      <c r="I163" s="66"/>
      <c r="J163" s="66"/>
      <c r="K163" s="67"/>
      <c r="L163" s="88"/>
      <c r="M163" s="69"/>
      <c r="N163" s="66"/>
      <c r="O163" s="66"/>
      <c r="P163" s="66"/>
      <c r="Q163" s="66"/>
      <c r="R163" s="67"/>
      <c r="S163" s="70"/>
      <c r="T163" s="162"/>
      <c r="U163" s="72"/>
      <c r="V163" s="73"/>
      <c r="W163" s="73"/>
      <c r="X163" s="79" t="s">
        <v>239</v>
      </c>
    </row>
    <row r="164" spans="1:24" s="63" customFormat="1" ht="15.75" customHeight="1">
      <c r="A164" s="75"/>
      <c r="B164" s="66"/>
      <c r="C164" s="66"/>
      <c r="D164" s="66"/>
      <c r="E164" s="66"/>
      <c r="F164" s="66"/>
      <c r="G164" s="66"/>
      <c r="H164" s="66"/>
      <c r="I164" s="66"/>
      <c r="J164" s="66"/>
      <c r="K164" s="67"/>
      <c r="L164" s="88"/>
      <c r="M164" s="69"/>
      <c r="N164" s="66"/>
      <c r="O164" s="66"/>
      <c r="P164" s="66"/>
      <c r="Q164" s="66"/>
      <c r="R164" s="67"/>
      <c r="S164" s="70"/>
      <c r="T164" s="162"/>
      <c r="U164" s="72"/>
      <c r="V164" s="73"/>
      <c r="W164" s="73"/>
      <c r="X164" s="104" t="s">
        <v>305</v>
      </c>
    </row>
    <row r="165" spans="1:24" s="63" customFormat="1" ht="15.75" customHeight="1">
      <c r="A165" s="75"/>
      <c r="B165" s="66"/>
      <c r="C165" s="66"/>
      <c r="D165" s="66"/>
      <c r="E165" s="66"/>
      <c r="F165" s="66"/>
      <c r="G165" s="66"/>
      <c r="H165" s="66"/>
      <c r="I165" s="66"/>
      <c r="J165" s="66"/>
      <c r="K165" s="67"/>
      <c r="L165" s="88"/>
      <c r="M165" s="69"/>
      <c r="N165" s="66"/>
      <c r="O165" s="66"/>
      <c r="P165" s="66"/>
      <c r="Q165" s="66"/>
      <c r="R165" s="67"/>
      <c r="S165" s="70"/>
      <c r="T165" s="162"/>
      <c r="U165" s="72"/>
      <c r="V165" s="73"/>
      <c r="W165" s="73"/>
      <c r="X165" s="104" t="str">
        <f>VLOOKUP(X164,Pfeile,$Y$324,FALSE)</f>
        <v>-</v>
      </c>
    </row>
    <row r="166" spans="1:24" s="63" customFormat="1" ht="15.75" customHeight="1">
      <c r="A166" s="75"/>
      <c r="B166" s="66"/>
      <c r="C166" s="66"/>
      <c r="D166" s="66"/>
      <c r="E166" s="66"/>
      <c r="F166" s="66"/>
      <c r="G166" s="66"/>
      <c r="H166" s="66"/>
      <c r="I166" s="66"/>
      <c r="J166" s="66"/>
      <c r="K166" s="67"/>
      <c r="L166" s="88"/>
      <c r="M166" s="69"/>
      <c r="N166" s="66"/>
      <c r="O166" s="66"/>
      <c r="P166" s="66"/>
      <c r="Q166" s="66"/>
      <c r="R166" s="67"/>
      <c r="S166" s="70"/>
      <c r="T166" s="162"/>
      <c r="U166" s="72"/>
      <c r="V166" s="73"/>
      <c r="W166" s="73"/>
      <c r="X166" s="85"/>
    </row>
    <row r="167" spans="1:24" s="63" customFormat="1" ht="15.75" customHeight="1">
      <c r="A167" s="75"/>
      <c r="B167" s="66"/>
      <c r="C167" s="66"/>
      <c r="D167" s="66"/>
      <c r="E167" s="66"/>
      <c r="F167" s="66"/>
      <c r="G167" s="66"/>
      <c r="H167" s="66"/>
      <c r="I167" s="66"/>
      <c r="J167" s="66"/>
      <c r="K167" s="67"/>
      <c r="L167" s="88"/>
      <c r="M167" s="69"/>
      <c r="N167" s="66"/>
      <c r="O167" s="66"/>
      <c r="P167" s="66"/>
      <c r="Q167" s="66"/>
      <c r="R167" s="67"/>
      <c r="S167" s="70"/>
      <c r="T167" s="162"/>
      <c r="U167" s="72"/>
      <c r="V167" s="73"/>
      <c r="W167" s="73"/>
      <c r="X167" s="85"/>
    </row>
    <row r="168" spans="1:24" s="63" customFormat="1" ht="15.75" customHeight="1">
      <c r="A168" s="75" t="s">
        <v>73</v>
      </c>
      <c r="B168" s="76" t="s">
        <v>179</v>
      </c>
      <c r="C168" s="66">
        <v>5</v>
      </c>
      <c r="D168" s="66">
        <v>4</v>
      </c>
      <c r="E168" s="66">
        <v>4</v>
      </c>
      <c r="F168" s="66">
        <v>3</v>
      </c>
      <c r="G168" s="66">
        <v>4</v>
      </c>
      <c r="H168" s="66">
        <v>1</v>
      </c>
      <c r="I168" s="66">
        <v>5</v>
      </c>
      <c r="J168" s="66">
        <v>2</v>
      </c>
      <c r="K168" s="67">
        <v>8</v>
      </c>
      <c r="L168" s="88"/>
      <c r="M168" s="118" t="s">
        <v>179</v>
      </c>
      <c r="N168" s="66" t="s">
        <v>179</v>
      </c>
      <c r="O168" s="66">
        <v>1</v>
      </c>
      <c r="P168" s="66" t="s">
        <v>179</v>
      </c>
      <c r="Q168" s="66" t="s">
        <v>179</v>
      </c>
      <c r="R168" s="66" t="s">
        <v>179</v>
      </c>
      <c r="S168" s="70" t="str">
        <f>VLOOKUP(T168,RW,$Z$259,FALSE)</f>
        <v>-</v>
      </c>
      <c r="T168" s="78">
        <f>VLOOKUP(Q168,Ruestung,$Z$251,FALSE)+IF(R168=1,1,0)</f>
        <v>0</v>
      </c>
      <c r="U168" s="72" t="s">
        <v>56</v>
      </c>
      <c r="V168" s="73"/>
      <c r="W168" s="73">
        <f>(IF(B168="-",0,B168)*(11))</f>
        <v>0</v>
      </c>
      <c r="X168" s="79" t="s">
        <v>90</v>
      </c>
    </row>
    <row r="169" spans="1:24" s="63" customFormat="1" ht="15.75" customHeight="1">
      <c r="A169" s="75" t="s">
        <v>35</v>
      </c>
      <c r="B169" s="76" t="s">
        <v>179</v>
      </c>
      <c r="C169" s="66">
        <v>5</v>
      </c>
      <c r="D169" s="66">
        <v>4</v>
      </c>
      <c r="E169" s="66">
        <v>4</v>
      </c>
      <c r="F169" s="66">
        <v>3</v>
      </c>
      <c r="G169" s="66">
        <v>4</v>
      </c>
      <c r="H169" s="66">
        <v>1</v>
      </c>
      <c r="I169" s="66">
        <v>5</v>
      </c>
      <c r="J169" s="66">
        <v>3</v>
      </c>
      <c r="K169" s="67">
        <v>8</v>
      </c>
      <c r="L169" s="88"/>
      <c r="M169" s="69"/>
      <c r="N169" s="66"/>
      <c r="O169" s="66">
        <v>1</v>
      </c>
      <c r="P169" s="118" t="str">
        <f>P168</f>
        <v>-</v>
      </c>
      <c r="Q169" s="66" t="str">
        <f>Q168</f>
        <v>-</v>
      </c>
      <c r="R169" s="160" t="str">
        <f>R168</f>
        <v>-</v>
      </c>
      <c r="S169" s="70" t="str">
        <f>VLOOKUP(T169,RW,$Z$259,FALSE)</f>
        <v>-</v>
      </c>
      <c r="T169" s="78">
        <f>VLOOKUP(Q169,Ruestung,$Z$251,FALSE)+IF(R169=1,1,0)</f>
        <v>0</v>
      </c>
      <c r="U169" s="72" t="s">
        <v>56</v>
      </c>
      <c r="V169" s="73"/>
      <c r="W169" s="73">
        <f>IF(B169="-",0,B169)*21</f>
        <v>0</v>
      </c>
      <c r="X169" s="79" t="s">
        <v>214</v>
      </c>
    </row>
    <row r="170" spans="1:24" s="63" customFormat="1" ht="15.75" customHeight="1">
      <c r="A170" s="75"/>
      <c r="B170" s="66"/>
      <c r="C170" s="66"/>
      <c r="D170" s="66"/>
      <c r="E170" s="66"/>
      <c r="F170" s="66"/>
      <c r="G170" s="66"/>
      <c r="H170" s="66"/>
      <c r="I170" s="66"/>
      <c r="J170" s="66"/>
      <c r="K170" s="67"/>
      <c r="L170" s="88"/>
      <c r="M170" s="69"/>
      <c r="N170" s="66"/>
      <c r="O170" s="66"/>
      <c r="P170" s="118"/>
      <c r="Q170" s="66"/>
      <c r="R170" s="160"/>
      <c r="S170" s="70"/>
      <c r="T170" s="81"/>
      <c r="U170" s="72"/>
      <c r="V170" s="73"/>
      <c r="W170" s="73"/>
      <c r="X170" s="84"/>
    </row>
    <row r="171" spans="1:24" s="63" customFormat="1" ht="15.75" customHeight="1">
      <c r="A171" s="75"/>
      <c r="B171" s="66"/>
      <c r="C171" s="66"/>
      <c r="D171" s="66"/>
      <c r="E171" s="66"/>
      <c r="F171" s="66"/>
      <c r="G171" s="66"/>
      <c r="H171" s="66"/>
      <c r="I171" s="66"/>
      <c r="J171" s="66"/>
      <c r="K171" s="67"/>
      <c r="L171" s="88"/>
      <c r="M171" s="69"/>
      <c r="N171" s="66"/>
      <c r="O171" s="66"/>
      <c r="P171" s="66"/>
      <c r="Q171" s="66"/>
      <c r="R171" s="67"/>
      <c r="S171" s="70"/>
      <c r="T171" s="81"/>
      <c r="U171" s="72"/>
      <c r="V171" s="73"/>
      <c r="W171" s="73"/>
      <c r="X171" s="79"/>
    </row>
    <row r="172" spans="1:28" s="63" customFormat="1" ht="24.75" customHeight="1">
      <c r="A172" s="152" t="s">
        <v>205</v>
      </c>
      <c r="B172" s="153" t="s">
        <v>54</v>
      </c>
      <c r="C172" s="154" t="s">
        <v>309</v>
      </c>
      <c r="D172" s="154" t="s">
        <v>190</v>
      </c>
      <c r="E172" s="154" t="s">
        <v>191</v>
      </c>
      <c r="F172" s="154" t="s">
        <v>250</v>
      </c>
      <c r="G172" s="154" t="s">
        <v>310</v>
      </c>
      <c r="H172" s="154" t="s">
        <v>192</v>
      </c>
      <c r="I172" s="154" t="s">
        <v>193</v>
      </c>
      <c r="J172" s="154" t="s">
        <v>194</v>
      </c>
      <c r="K172" s="154" t="s">
        <v>195</v>
      </c>
      <c r="L172" s="155"/>
      <c r="M172" s="154" t="s">
        <v>163</v>
      </c>
      <c r="N172" s="154" t="s">
        <v>164</v>
      </c>
      <c r="O172" s="154" t="s">
        <v>127</v>
      </c>
      <c r="P172" s="154" t="s">
        <v>247</v>
      </c>
      <c r="Q172" s="154" t="s">
        <v>187</v>
      </c>
      <c r="R172" s="154" t="s">
        <v>189</v>
      </c>
      <c r="S172" s="156" t="s">
        <v>114</v>
      </c>
      <c r="T172" s="154"/>
      <c r="U172" s="157" t="s">
        <v>188</v>
      </c>
      <c r="V172" s="38" t="s">
        <v>171</v>
      </c>
      <c r="W172" s="158" t="s">
        <v>52</v>
      </c>
      <c r="X172" s="157" t="s">
        <v>203</v>
      </c>
      <c r="Z172" s="64" t="s">
        <v>301</v>
      </c>
      <c r="AA172" s="64">
        <f>SUM(W173:W221)</f>
        <v>0</v>
      </c>
      <c r="AB172" s="64" t="s">
        <v>52</v>
      </c>
    </row>
    <row r="173" spans="1:24" s="63" customFormat="1" ht="15.75" customHeight="1">
      <c r="A173" s="65"/>
      <c r="B173" s="66"/>
      <c r="C173" s="66"/>
      <c r="D173" s="66"/>
      <c r="E173" s="66"/>
      <c r="F173" s="66"/>
      <c r="G173" s="66"/>
      <c r="H173" s="66"/>
      <c r="I173" s="66"/>
      <c r="J173" s="66"/>
      <c r="K173" s="67"/>
      <c r="L173" s="88"/>
      <c r="M173" s="69"/>
      <c r="N173" s="66"/>
      <c r="O173" s="66"/>
      <c r="P173" s="66"/>
      <c r="Q173" s="66"/>
      <c r="R173" s="67"/>
      <c r="S173" s="70"/>
      <c r="T173" s="54"/>
      <c r="U173" s="72"/>
      <c r="V173" s="73"/>
      <c r="W173" s="73"/>
      <c r="X173" s="79"/>
    </row>
    <row r="174" spans="1:24" s="63" customFormat="1" ht="15.75" customHeight="1">
      <c r="A174" s="75"/>
      <c r="B174" s="66"/>
      <c r="C174" s="66"/>
      <c r="D174" s="66"/>
      <c r="E174" s="66"/>
      <c r="F174" s="66"/>
      <c r="G174" s="66"/>
      <c r="H174" s="66"/>
      <c r="I174" s="66"/>
      <c r="J174" s="66"/>
      <c r="K174" s="67"/>
      <c r="L174" s="88"/>
      <c r="M174" s="69"/>
      <c r="N174" s="66"/>
      <c r="O174" s="66"/>
      <c r="P174" s="66"/>
      <c r="Q174" s="66"/>
      <c r="R174" s="67"/>
      <c r="S174" s="70"/>
      <c r="T174" s="54"/>
      <c r="U174" s="72"/>
      <c r="V174" s="73"/>
      <c r="W174" s="73"/>
      <c r="X174" s="79"/>
    </row>
    <row r="175" spans="1:24" s="63" customFormat="1" ht="15.75" customHeight="1">
      <c r="A175" s="75" t="s">
        <v>71</v>
      </c>
      <c r="B175" s="76" t="s">
        <v>179</v>
      </c>
      <c r="C175" s="66">
        <v>5</v>
      </c>
      <c r="D175" s="66">
        <v>4</v>
      </c>
      <c r="E175" s="66">
        <v>4</v>
      </c>
      <c r="F175" s="66">
        <v>3</v>
      </c>
      <c r="G175" s="66">
        <v>3</v>
      </c>
      <c r="H175" s="66">
        <v>1</v>
      </c>
      <c r="I175" s="66">
        <v>5</v>
      </c>
      <c r="J175" s="66">
        <v>1</v>
      </c>
      <c r="K175" s="67">
        <v>8</v>
      </c>
      <c r="L175" s="88"/>
      <c r="M175" s="159" t="s">
        <v>179</v>
      </c>
      <c r="N175" s="76" t="s">
        <v>179</v>
      </c>
      <c r="O175" s="66">
        <v>1</v>
      </c>
      <c r="P175" s="66" t="s">
        <v>179</v>
      </c>
      <c r="Q175" s="118" t="s">
        <v>179</v>
      </c>
      <c r="R175" s="118" t="s">
        <v>179</v>
      </c>
      <c r="S175" s="70" t="str">
        <f>VLOOKUP(T175,RW,$Z$259,FALSE)</f>
        <v>-</v>
      </c>
      <c r="T175" s="78">
        <f>VLOOKUP(Q175,Ruestung,$Z$251,FALSE)+IF(R175=1,1,0)</f>
        <v>0</v>
      </c>
      <c r="U175" s="72"/>
      <c r="V175" s="73"/>
      <c r="W175" s="73">
        <f>(IF(B175="-",0,B175)*(13+VLOOKUP(X178,Pfeile,$Z$324,FALSE)))+IF(M175="-",0,M175*10)+IF(N175="-",0,N175*10)</f>
        <v>0</v>
      </c>
      <c r="X175" s="79" t="s">
        <v>303</v>
      </c>
    </row>
    <row r="176" spans="1:24" s="63" customFormat="1" ht="15.75" customHeight="1">
      <c r="A176" s="75" t="s">
        <v>32</v>
      </c>
      <c r="B176" s="76" t="s">
        <v>179</v>
      </c>
      <c r="C176" s="66">
        <v>5</v>
      </c>
      <c r="D176" s="66">
        <v>4</v>
      </c>
      <c r="E176" s="66">
        <v>5</v>
      </c>
      <c r="F176" s="66">
        <v>3</v>
      </c>
      <c r="G176" s="66">
        <v>3</v>
      </c>
      <c r="H176" s="66">
        <v>1</v>
      </c>
      <c r="I176" s="66">
        <v>5</v>
      </c>
      <c r="J176" s="66">
        <v>1</v>
      </c>
      <c r="K176" s="67">
        <v>8</v>
      </c>
      <c r="L176" s="88"/>
      <c r="M176" s="69"/>
      <c r="N176" s="66"/>
      <c r="O176" s="66">
        <v>1</v>
      </c>
      <c r="P176" s="118" t="str">
        <f>P175</f>
        <v>-</v>
      </c>
      <c r="Q176" s="118" t="str">
        <f>Q175</f>
        <v>-</v>
      </c>
      <c r="R176" s="118" t="str">
        <f>R175</f>
        <v>-</v>
      </c>
      <c r="S176" s="70" t="str">
        <f>VLOOKUP(T176,RW,$Z$259,FALSE)</f>
        <v>-</v>
      </c>
      <c r="T176" s="78">
        <f>VLOOKUP(Q176,Ruestung,$Z$251,FALSE)+IF(R176=1,1,0)</f>
        <v>0</v>
      </c>
      <c r="U176" s="72"/>
      <c r="V176" s="73"/>
      <c r="W176" s="73">
        <f>IF(B176="-",0,B176)*(23+VLOOKUP(X178,Pfeile,Z324,FALSE))</f>
        <v>0</v>
      </c>
      <c r="X176" s="79" t="s">
        <v>220</v>
      </c>
    </row>
    <row r="177" spans="1:24" s="63" customFormat="1" ht="15.75" customHeight="1">
      <c r="A177" s="75"/>
      <c r="B177" s="66"/>
      <c r="C177" s="66"/>
      <c r="D177" s="66"/>
      <c r="E177" s="66"/>
      <c r="F177" s="66"/>
      <c r="G177" s="66"/>
      <c r="H177" s="66"/>
      <c r="I177" s="66"/>
      <c r="J177" s="66"/>
      <c r="K177" s="67"/>
      <c r="L177" s="88"/>
      <c r="M177" s="69"/>
      <c r="N177" s="66"/>
      <c r="O177" s="66"/>
      <c r="P177" s="118"/>
      <c r="Q177" s="118"/>
      <c r="R177" s="160"/>
      <c r="S177" s="70"/>
      <c r="T177" s="161"/>
      <c r="U177" s="72"/>
      <c r="V177" s="73"/>
      <c r="W177" s="73"/>
      <c r="X177" s="124" t="s">
        <v>293</v>
      </c>
    </row>
    <row r="178" spans="1:24" s="63" customFormat="1" ht="15.75" customHeight="1">
      <c r="A178" s="75"/>
      <c r="B178" s="66"/>
      <c r="C178" s="66"/>
      <c r="D178" s="66"/>
      <c r="E178" s="66"/>
      <c r="F178" s="66"/>
      <c r="G178" s="66"/>
      <c r="H178" s="66"/>
      <c r="I178" s="66"/>
      <c r="J178" s="66"/>
      <c r="K178" s="67"/>
      <c r="L178" s="88"/>
      <c r="M178" s="69"/>
      <c r="N178" s="66"/>
      <c r="O178" s="66"/>
      <c r="P178" s="66"/>
      <c r="Q178" s="66"/>
      <c r="R178" s="67"/>
      <c r="S178" s="70"/>
      <c r="T178" s="54"/>
      <c r="U178" s="72"/>
      <c r="V178" s="73"/>
      <c r="W178" s="73"/>
      <c r="X178" s="104" t="s">
        <v>305</v>
      </c>
    </row>
    <row r="179" spans="1:24" s="63" customFormat="1" ht="15.75" customHeight="1">
      <c r="A179" s="75"/>
      <c r="B179" s="66"/>
      <c r="C179" s="66"/>
      <c r="D179" s="66"/>
      <c r="E179" s="66"/>
      <c r="F179" s="66"/>
      <c r="G179" s="66"/>
      <c r="H179" s="66"/>
      <c r="I179" s="66"/>
      <c r="J179" s="66"/>
      <c r="K179" s="67"/>
      <c r="L179" s="88"/>
      <c r="M179" s="69"/>
      <c r="N179" s="66"/>
      <c r="O179" s="66"/>
      <c r="P179" s="66"/>
      <c r="Q179" s="66"/>
      <c r="R179" s="67"/>
      <c r="S179" s="70"/>
      <c r="T179" s="54"/>
      <c r="U179" s="72"/>
      <c r="V179" s="73"/>
      <c r="W179" s="73"/>
      <c r="X179" s="104" t="str">
        <f>VLOOKUP(X178,Pfeile,$Y$324,FALSE)</f>
        <v>-</v>
      </c>
    </row>
    <row r="180" spans="1:24" s="63" customFormat="1" ht="15.75" customHeight="1">
      <c r="A180" s="75"/>
      <c r="B180" s="66"/>
      <c r="C180" s="66"/>
      <c r="D180" s="66"/>
      <c r="E180" s="66"/>
      <c r="F180" s="66"/>
      <c r="G180" s="66"/>
      <c r="H180" s="66"/>
      <c r="I180" s="66"/>
      <c r="J180" s="66"/>
      <c r="K180" s="67"/>
      <c r="L180" s="88"/>
      <c r="M180" s="69"/>
      <c r="N180" s="66"/>
      <c r="O180" s="66"/>
      <c r="P180" s="66"/>
      <c r="Q180" s="66"/>
      <c r="R180" s="67"/>
      <c r="S180" s="70"/>
      <c r="T180" s="54"/>
      <c r="U180" s="72"/>
      <c r="V180" s="73"/>
      <c r="W180" s="73"/>
      <c r="X180" s="79"/>
    </row>
    <row r="181" spans="1:24" s="63" customFormat="1" ht="15.75" customHeight="1">
      <c r="A181" s="75"/>
      <c r="B181" s="66"/>
      <c r="C181" s="66"/>
      <c r="D181" s="66"/>
      <c r="E181" s="66"/>
      <c r="F181" s="66"/>
      <c r="G181" s="66"/>
      <c r="H181" s="66"/>
      <c r="I181" s="66"/>
      <c r="J181" s="66"/>
      <c r="K181" s="67"/>
      <c r="L181" s="88"/>
      <c r="M181" s="69"/>
      <c r="N181" s="66"/>
      <c r="O181" s="66"/>
      <c r="P181" s="66"/>
      <c r="Q181" s="66"/>
      <c r="R181" s="67"/>
      <c r="S181" s="70"/>
      <c r="T181" s="54"/>
      <c r="U181" s="72"/>
      <c r="V181" s="73"/>
      <c r="W181" s="73"/>
      <c r="X181" s="79"/>
    </row>
    <row r="182" spans="1:24" s="63" customFormat="1" ht="15.75" customHeight="1">
      <c r="A182" s="75" t="s">
        <v>181</v>
      </c>
      <c r="B182" s="76" t="s">
        <v>179</v>
      </c>
      <c r="C182" s="66">
        <v>5</v>
      </c>
      <c r="D182" s="66">
        <v>5</v>
      </c>
      <c r="E182" s="66">
        <v>4</v>
      </c>
      <c r="F182" s="77" t="s">
        <v>298</v>
      </c>
      <c r="G182" s="66">
        <v>3</v>
      </c>
      <c r="H182" s="66">
        <v>1</v>
      </c>
      <c r="I182" s="66">
        <v>5</v>
      </c>
      <c r="J182" s="77" t="s">
        <v>130</v>
      </c>
      <c r="K182" s="67">
        <v>9</v>
      </c>
      <c r="L182" s="88"/>
      <c r="M182" s="159" t="s">
        <v>179</v>
      </c>
      <c r="N182" s="76" t="s">
        <v>179</v>
      </c>
      <c r="O182" s="66">
        <v>1</v>
      </c>
      <c r="P182" s="66">
        <v>1</v>
      </c>
      <c r="Q182" s="66" t="s">
        <v>198</v>
      </c>
      <c r="R182" s="66" t="s">
        <v>179</v>
      </c>
      <c r="S182" s="70" t="str">
        <f>VLOOKUP(T182,RWKavallerie,$AB$259,FALSE)</f>
        <v>5+</v>
      </c>
      <c r="T182" s="78">
        <f>VLOOKUP(Q182,RuestungKavallerie2,$AB$251,FALSE)+IF(R182=1,1,0)+IF(Q184="RH",1,0)</f>
        <v>2</v>
      </c>
      <c r="U182" s="72"/>
      <c r="V182" s="102" t="s">
        <v>179</v>
      </c>
      <c r="W182" s="73">
        <f>(IF(B182="-",0,B182)*(11))+IF(M182="-",0,M182*10)+IF(N182="-",0,N182*10)+IF(V182="-",0,V182)</f>
        <v>0</v>
      </c>
      <c r="X182" s="79" t="s">
        <v>297</v>
      </c>
    </row>
    <row r="183" spans="1:24" s="63" customFormat="1" ht="15.75" customHeight="1">
      <c r="A183" s="75" t="s">
        <v>182</v>
      </c>
      <c r="B183" s="76" t="s">
        <v>179</v>
      </c>
      <c r="C183" s="66">
        <v>5</v>
      </c>
      <c r="D183" s="66">
        <v>5</v>
      </c>
      <c r="E183" s="66">
        <v>4</v>
      </c>
      <c r="F183" s="77" t="s">
        <v>298</v>
      </c>
      <c r="G183" s="66">
        <v>3</v>
      </c>
      <c r="H183" s="66">
        <v>1</v>
      </c>
      <c r="I183" s="66">
        <v>5</v>
      </c>
      <c r="J183" s="77" t="s">
        <v>131</v>
      </c>
      <c r="K183" s="67">
        <v>9</v>
      </c>
      <c r="L183" s="88"/>
      <c r="M183" s="69"/>
      <c r="N183" s="66"/>
      <c r="O183" s="66">
        <f>O182</f>
        <v>1</v>
      </c>
      <c r="P183" s="118">
        <f>P182</f>
        <v>1</v>
      </c>
      <c r="Q183" s="66" t="s">
        <v>198</v>
      </c>
      <c r="R183" s="67" t="str">
        <f>R182</f>
        <v>-</v>
      </c>
      <c r="S183" s="70" t="str">
        <f>VLOOKUP(T183,RWKavallerie,$AB$259,FALSE)</f>
        <v>5+</v>
      </c>
      <c r="T183" s="78">
        <f>VLOOKUP(Q183,RuestungKavallerie2,$AB$251,FALSE)+IF(R183=1,1,0)+IF(Q184="RH",1,0)</f>
        <v>2</v>
      </c>
      <c r="U183" s="72"/>
      <c r="V183" s="73"/>
      <c r="W183" s="73">
        <f>IF(B183="-",0,B183)*21</f>
        <v>0</v>
      </c>
      <c r="X183" s="79" t="s">
        <v>299</v>
      </c>
    </row>
    <row r="184" spans="1:24" s="63" customFormat="1" ht="15.75" customHeight="1">
      <c r="A184" s="75"/>
      <c r="B184" s="66"/>
      <c r="C184" s="66"/>
      <c r="D184" s="66"/>
      <c r="E184" s="66"/>
      <c r="F184" s="66"/>
      <c r="G184" s="66"/>
      <c r="H184" s="66"/>
      <c r="I184" s="66"/>
      <c r="J184" s="66"/>
      <c r="K184" s="67"/>
      <c r="L184" s="88"/>
      <c r="M184" s="69"/>
      <c r="N184" s="66"/>
      <c r="O184" s="66"/>
      <c r="P184" s="66"/>
      <c r="Q184" s="66"/>
      <c r="R184" s="67"/>
      <c r="S184" s="70"/>
      <c r="T184" s="78"/>
      <c r="U184" s="72"/>
      <c r="V184" s="73"/>
      <c r="W184" s="73"/>
      <c r="X184" s="79"/>
    </row>
    <row r="185" spans="1:24" s="63" customFormat="1" ht="15.75" customHeight="1">
      <c r="A185" s="75"/>
      <c r="B185" s="66"/>
      <c r="C185" s="66"/>
      <c r="D185" s="66"/>
      <c r="E185" s="66"/>
      <c r="F185" s="66"/>
      <c r="G185" s="66"/>
      <c r="H185" s="66"/>
      <c r="I185" s="66"/>
      <c r="J185" s="66"/>
      <c r="K185" s="67"/>
      <c r="L185" s="88"/>
      <c r="M185" s="69"/>
      <c r="N185" s="66"/>
      <c r="O185" s="66"/>
      <c r="P185" s="66"/>
      <c r="Q185" s="66"/>
      <c r="R185" s="67"/>
      <c r="S185" s="70"/>
      <c r="T185" s="54"/>
      <c r="U185" s="72"/>
      <c r="V185" s="73"/>
      <c r="W185" s="73"/>
      <c r="X185" s="79"/>
    </row>
    <row r="186" spans="1:24" s="63" customFormat="1" ht="15.75" customHeight="1">
      <c r="A186" s="65" t="s">
        <v>75</v>
      </c>
      <c r="B186" s="76" t="s">
        <v>179</v>
      </c>
      <c r="C186" s="66">
        <v>5</v>
      </c>
      <c r="D186" s="66">
        <v>6</v>
      </c>
      <c r="E186" s="66">
        <v>4</v>
      </c>
      <c r="F186" s="66">
        <v>3</v>
      </c>
      <c r="G186" s="66">
        <v>3</v>
      </c>
      <c r="H186" s="66">
        <v>1</v>
      </c>
      <c r="I186" s="66">
        <v>6</v>
      </c>
      <c r="J186" s="77" t="s">
        <v>7</v>
      </c>
      <c r="K186" s="67">
        <v>8</v>
      </c>
      <c r="L186" s="88"/>
      <c r="M186" s="159" t="s">
        <v>179</v>
      </c>
      <c r="N186" s="66"/>
      <c r="O186" s="76">
        <v>2</v>
      </c>
      <c r="P186" s="66" t="s">
        <v>179</v>
      </c>
      <c r="Q186" s="66" t="s">
        <v>179</v>
      </c>
      <c r="R186" s="66" t="s">
        <v>179</v>
      </c>
      <c r="S186" s="70"/>
      <c r="T186" s="78" t="e">
        <f>VLOOKUP(Q186,RuestungKavallerie2,$AB$251,FALSE)+IF(R186=1,1,0)+IF(#REF!="RH",1,0)</f>
        <v>#REF!</v>
      </c>
      <c r="U186" s="72" t="s">
        <v>56</v>
      </c>
      <c r="V186" s="73"/>
      <c r="W186" s="73">
        <f>(IF(B186="-",0,B186)*(15+IF(O186=1,1,0)))+IF(M186="-",0,M186*10)</f>
        <v>0</v>
      </c>
      <c r="X186" s="79" t="s">
        <v>156</v>
      </c>
    </row>
    <row r="187" spans="1:24" s="63" customFormat="1" ht="15.75" customHeight="1">
      <c r="A187" s="75" t="s">
        <v>31</v>
      </c>
      <c r="B187" s="76" t="s">
        <v>179</v>
      </c>
      <c r="C187" s="66">
        <v>5</v>
      </c>
      <c r="D187" s="66">
        <v>6</v>
      </c>
      <c r="E187" s="66">
        <v>4</v>
      </c>
      <c r="F187" s="66">
        <v>3</v>
      </c>
      <c r="G187" s="66">
        <v>3</v>
      </c>
      <c r="H187" s="66">
        <v>1</v>
      </c>
      <c r="I187" s="66">
        <v>6</v>
      </c>
      <c r="J187" s="77" t="s">
        <v>8</v>
      </c>
      <c r="K187" s="67">
        <v>8</v>
      </c>
      <c r="L187" s="88"/>
      <c r="M187" s="69"/>
      <c r="N187" s="66"/>
      <c r="O187" s="66">
        <f>O186</f>
        <v>2</v>
      </c>
      <c r="P187" s="66" t="str">
        <f>P186</f>
        <v>-</v>
      </c>
      <c r="Q187" s="66" t="str">
        <f>Q186</f>
        <v>-</v>
      </c>
      <c r="R187" s="67" t="str">
        <f>R186</f>
        <v>-</v>
      </c>
      <c r="S187" s="70"/>
      <c r="T187" s="78" t="e">
        <f>VLOOKUP(Q187,RuestungKavallerie2,$AB$251,FALSE)+IF(R187=1,1,0)+IF(#REF!="RH",1,0)</f>
        <v>#REF!</v>
      </c>
      <c r="U187" s="72" t="s">
        <v>56</v>
      </c>
      <c r="V187" s="73"/>
      <c r="W187" s="73">
        <f>IF(B187="-",0,B187)*(25+IF(O187=1,1,0))</f>
        <v>0</v>
      </c>
      <c r="X187" s="79" t="s">
        <v>157</v>
      </c>
    </row>
    <row r="188" spans="1:24" s="63" customFormat="1" ht="15.75" customHeight="1">
      <c r="A188" s="75"/>
      <c r="B188" s="66"/>
      <c r="C188" s="66"/>
      <c r="D188" s="66"/>
      <c r="E188" s="66"/>
      <c r="F188" s="66"/>
      <c r="G188" s="66"/>
      <c r="H188" s="66"/>
      <c r="I188" s="66"/>
      <c r="J188" s="66"/>
      <c r="K188" s="67"/>
      <c r="L188" s="88"/>
      <c r="M188" s="69"/>
      <c r="N188" s="66"/>
      <c r="O188" s="66"/>
      <c r="P188" s="66"/>
      <c r="Q188" s="66"/>
      <c r="R188" s="67"/>
      <c r="S188" s="70"/>
      <c r="T188" s="163"/>
      <c r="U188" s="72"/>
      <c r="V188" s="73"/>
      <c r="W188" s="73"/>
      <c r="X188" s="79" t="s">
        <v>158</v>
      </c>
    </row>
    <row r="189" spans="1:24" s="63" customFormat="1" ht="15.75" customHeight="1">
      <c r="A189" s="75"/>
      <c r="B189" s="66"/>
      <c r="C189" s="66"/>
      <c r="D189" s="66"/>
      <c r="E189" s="66"/>
      <c r="F189" s="66"/>
      <c r="G189" s="66"/>
      <c r="H189" s="66"/>
      <c r="I189" s="66"/>
      <c r="J189" s="66"/>
      <c r="K189" s="67"/>
      <c r="L189" s="88"/>
      <c r="M189" s="69"/>
      <c r="N189" s="66"/>
      <c r="O189" s="66"/>
      <c r="P189" s="66"/>
      <c r="Q189" s="66"/>
      <c r="R189" s="67"/>
      <c r="S189" s="70"/>
      <c r="T189" s="163"/>
      <c r="U189" s="72"/>
      <c r="V189" s="73"/>
      <c r="W189" s="73"/>
      <c r="X189" s="84" t="s">
        <v>294</v>
      </c>
    </row>
    <row r="190" spans="1:24" s="63" customFormat="1" ht="15.75" customHeight="1">
      <c r="A190" s="75"/>
      <c r="B190" s="66"/>
      <c r="C190" s="66"/>
      <c r="D190" s="66"/>
      <c r="E190" s="66"/>
      <c r="F190" s="66"/>
      <c r="G190" s="66"/>
      <c r="H190" s="66"/>
      <c r="I190" s="66"/>
      <c r="J190" s="66"/>
      <c r="K190" s="67"/>
      <c r="L190" s="88"/>
      <c r="M190" s="69"/>
      <c r="N190" s="66"/>
      <c r="O190" s="66"/>
      <c r="P190" s="66"/>
      <c r="Q190" s="66"/>
      <c r="R190" s="67"/>
      <c r="S190" s="70"/>
      <c r="T190" s="163"/>
      <c r="U190" s="72"/>
      <c r="V190" s="73"/>
      <c r="W190" s="73"/>
      <c r="X190" s="84" t="s">
        <v>295</v>
      </c>
    </row>
    <row r="191" spans="1:24" s="63" customFormat="1" ht="15.75" customHeight="1">
      <c r="A191" s="75"/>
      <c r="B191" s="66"/>
      <c r="C191" s="66"/>
      <c r="D191" s="66"/>
      <c r="E191" s="66"/>
      <c r="F191" s="66"/>
      <c r="G191" s="66"/>
      <c r="H191" s="66"/>
      <c r="I191" s="66"/>
      <c r="J191" s="66"/>
      <c r="K191" s="67"/>
      <c r="L191" s="88"/>
      <c r="M191" s="69"/>
      <c r="N191" s="66"/>
      <c r="O191" s="66"/>
      <c r="P191" s="66"/>
      <c r="Q191" s="66"/>
      <c r="R191" s="67"/>
      <c r="S191" s="70"/>
      <c r="T191" s="163"/>
      <c r="U191" s="72"/>
      <c r="V191" s="73"/>
      <c r="W191" s="73"/>
      <c r="X191" s="104" t="str">
        <f>IF(O186=1,"Asrai-Speer S=3, +1 Glied Unterst-Att. rüstungsbrech.","Kein Asrai-Speer")</f>
        <v>Kein Asrai-Speer</v>
      </c>
    </row>
    <row r="192" spans="1:24" s="63" customFormat="1" ht="15.75" customHeight="1">
      <c r="A192" s="75"/>
      <c r="B192" s="66"/>
      <c r="C192" s="66"/>
      <c r="D192" s="66"/>
      <c r="E192" s="66"/>
      <c r="F192" s="66"/>
      <c r="G192" s="66"/>
      <c r="H192" s="66"/>
      <c r="I192" s="66"/>
      <c r="J192" s="66"/>
      <c r="K192" s="67"/>
      <c r="L192" s="88"/>
      <c r="M192" s="69"/>
      <c r="N192" s="66"/>
      <c r="O192" s="66"/>
      <c r="P192" s="66"/>
      <c r="Q192" s="66"/>
      <c r="R192" s="67"/>
      <c r="S192" s="70"/>
      <c r="T192" s="163"/>
      <c r="U192" s="72"/>
      <c r="V192" s="73"/>
      <c r="W192" s="73"/>
      <c r="X192" s="84"/>
    </row>
    <row r="193" spans="1:24" s="63" customFormat="1" ht="15.75" customHeight="1">
      <c r="A193" s="75"/>
      <c r="B193" s="66"/>
      <c r="C193" s="66"/>
      <c r="D193" s="66"/>
      <c r="E193" s="66"/>
      <c r="F193" s="66"/>
      <c r="G193" s="66"/>
      <c r="H193" s="66"/>
      <c r="I193" s="66"/>
      <c r="J193" s="66"/>
      <c r="K193" s="67"/>
      <c r="L193" s="88"/>
      <c r="M193" s="69"/>
      <c r="N193" s="66"/>
      <c r="O193" s="66"/>
      <c r="P193" s="66"/>
      <c r="Q193" s="66"/>
      <c r="R193" s="67"/>
      <c r="S193" s="70"/>
      <c r="T193" s="54"/>
      <c r="U193" s="72"/>
      <c r="V193" s="73"/>
      <c r="W193" s="73"/>
      <c r="X193" s="79"/>
    </row>
    <row r="194" spans="1:24" s="63" customFormat="1" ht="15.75" customHeight="1">
      <c r="A194" s="65" t="s">
        <v>85</v>
      </c>
      <c r="B194" s="76" t="s">
        <v>179</v>
      </c>
      <c r="C194" s="66">
        <v>5</v>
      </c>
      <c r="D194" s="66">
        <v>5</v>
      </c>
      <c r="E194" s="66">
        <v>4</v>
      </c>
      <c r="F194" s="77" t="s">
        <v>132</v>
      </c>
      <c r="G194" s="66">
        <v>3</v>
      </c>
      <c r="H194" s="66">
        <v>1</v>
      </c>
      <c r="I194" s="66">
        <v>5</v>
      </c>
      <c r="J194" s="77" t="s">
        <v>7</v>
      </c>
      <c r="K194" s="67">
        <v>9</v>
      </c>
      <c r="L194" s="88"/>
      <c r="M194" s="159" t="s">
        <v>179</v>
      </c>
      <c r="N194" s="76" t="s">
        <v>179</v>
      </c>
      <c r="O194" s="66">
        <v>1</v>
      </c>
      <c r="P194" s="66" t="s">
        <v>179</v>
      </c>
      <c r="Q194" s="66" t="s">
        <v>198</v>
      </c>
      <c r="R194" s="66" t="s">
        <v>179</v>
      </c>
      <c r="S194" s="70" t="str">
        <f>VLOOKUP(T194,RWKavallerie,$AB$259,FALSE)</f>
        <v>5+</v>
      </c>
      <c r="T194" s="78">
        <f>VLOOKUP(Q194,RuestungKavallerie2,$AB$251,FALSE)+IF(R194=1,1,0)+IF(Q196="RH",1,0)</f>
        <v>2</v>
      </c>
      <c r="U194" s="72" t="s">
        <v>56</v>
      </c>
      <c r="V194" s="102" t="s">
        <v>179</v>
      </c>
      <c r="W194" s="73">
        <f>IF(B194="-",0,B194)*(26)+IF(N194="-",0,N194*10)+IF(M194="-",0,M194*10)+IF(V194="-",0,V194)</f>
        <v>0</v>
      </c>
      <c r="X194" s="79" t="s">
        <v>9</v>
      </c>
    </row>
    <row r="195" spans="1:24" s="63" customFormat="1" ht="15.75" customHeight="1">
      <c r="A195" s="75" t="s">
        <v>184</v>
      </c>
      <c r="B195" s="76" t="s">
        <v>179</v>
      </c>
      <c r="C195" s="66">
        <v>5</v>
      </c>
      <c r="D195" s="66">
        <v>5</v>
      </c>
      <c r="E195" s="66">
        <v>4</v>
      </c>
      <c r="F195" s="77" t="s">
        <v>132</v>
      </c>
      <c r="G195" s="66">
        <v>3</v>
      </c>
      <c r="H195" s="66">
        <v>1</v>
      </c>
      <c r="I195" s="66">
        <v>5</v>
      </c>
      <c r="J195" s="77" t="s">
        <v>8</v>
      </c>
      <c r="K195" s="67">
        <v>9</v>
      </c>
      <c r="L195" s="88"/>
      <c r="M195" s="69"/>
      <c r="N195" s="66"/>
      <c r="O195" s="66">
        <v>1</v>
      </c>
      <c r="P195" s="66" t="str">
        <f>P194</f>
        <v>-</v>
      </c>
      <c r="Q195" s="66" t="s">
        <v>198</v>
      </c>
      <c r="R195" s="67" t="str">
        <f>R194</f>
        <v>-</v>
      </c>
      <c r="S195" s="70" t="str">
        <f>VLOOKUP(T195,RWKavallerie,$AB$259,FALSE)</f>
        <v>5+</v>
      </c>
      <c r="T195" s="78">
        <f>VLOOKUP(Q195,RuestungKavallerie2,$AB$251,FALSE)+IF(R195=1,1,0)+IF(Q196="RH",1,0)</f>
        <v>2</v>
      </c>
      <c r="U195" s="72" t="s">
        <v>56</v>
      </c>
      <c r="V195" s="73"/>
      <c r="W195" s="73">
        <f>IF(B195="-",0,B195)*36</f>
        <v>0</v>
      </c>
      <c r="X195" s="79" t="s">
        <v>10</v>
      </c>
    </row>
    <row r="196" spans="1:24" s="63" customFormat="1" ht="15.75" customHeight="1">
      <c r="A196" s="75" t="s">
        <v>183</v>
      </c>
      <c r="B196" s="118" t="str">
        <f>IF(B195="-",B194,B194+B195)</f>
        <v>-</v>
      </c>
      <c r="C196" s="66">
        <v>9</v>
      </c>
      <c r="D196" s="66">
        <v>3</v>
      </c>
      <c r="E196" s="66">
        <v>0</v>
      </c>
      <c r="F196" s="66">
        <v>4</v>
      </c>
      <c r="G196" s="66">
        <v>3</v>
      </c>
      <c r="H196" s="66">
        <v>1</v>
      </c>
      <c r="I196" s="66">
        <v>4</v>
      </c>
      <c r="J196" s="77" t="s">
        <v>130</v>
      </c>
      <c r="K196" s="67">
        <v>5</v>
      </c>
      <c r="L196" s="68"/>
      <c r="M196" s="69"/>
      <c r="N196" s="66"/>
      <c r="O196" s="66"/>
      <c r="P196" s="66"/>
      <c r="Q196" s="66"/>
      <c r="R196" s="67"/>
      <c r="S196" s="70"/>
      <c r="T196" s="78">
        <f>VLOOKUP(Q194,RuestungKavallerie2,$AB$251,FALSE)+IF(R194=1,1,0)+IF(Q196="RH",1,0)</f>
        <v>2</v>
      </c>
      <c r="U196" s="72"/>
      <c r="V196" s="73"/>
      <c r="W196" s="73"/>
      <c r="X196" s="85" t="s">
        <v>11</v>
      </c>
    </row>
    <row r="197" spans="1:24" s="63" customFormat="1" ht="15.75" customHeight="1">
      <c r="A197" s="75"/>
      <c r="B197" s="66"/>
      <c r="C197" s="66"/>
      <c r="D197" s="66"/>
      <c r="E197" s="66"/>
      <c r="F197" s="66"/>
      <c r="G197" s="66"/>
      <c r="H197" s="66"/>
      <c r="I197" s="66"/>
      <c r="J197" s="66"/>
      <c r="K197" s="67"/>
      <c r="L197" s="88"/>
      <c r="M197" s="69"/>
      <c r="N197" s="66"/>
      <c r="O197" s="66"/>
      <c r="P197" s="66"/>
      <c r="Q197" s="66"/>
      <c r="R197" s="67"/>
      <c r="S197" s="70"/>
      <c r="T197" s="54"/>
      <c r="U197" s="72"/>
      <c r="V197" s="73"/>
      <c r="W197" s="73"/>
      <c r="X197" s="79" t="s">
        <v>12</v>
      </c>
    </row>
    <row r="198" spans="1:24" s="63" customFormat="1" ht="15.75" customHeight="1">
      <c r="A198" s="75"/>
      <c r="B198" s="66"/>
      <c r="C198" s="66"/>
      <c r="D198" s="66"/>
      <c r="E198" s="66"/>
      <c r="F198" s="66"/>
      <c r="G198" s="66"/>
      <c r="H198" s="66"/>
      <c r="I198" s="66"/>
      <c r="J198" s="66"/>
      <c r="K198" s="67"/>
      <c r="L198" s="88"/>
      <c r="M198" s="69"/>
      <c r="N198" s="66"/>
      <c r="O198" s="66"/>
      <c r="P198" s="66"/>
      <c r="Q198" s="66"/>
      <c r="R198" s="67"/>
      <c r="S198" s="70"/>
      <c r="T198" s="54"/>
      <c r="U198" s="72"/>
      <c r="V198" s="73"/>
      <c r="W198" s="73"/>
      <c r="X198" s="84" t="s">
        <v>13</v>
      </c>
    </row>
    <row r="199" spans="1:24" s="63" customFormat="1" ht="15.75" customHeight="1">
      <c r="A199" s="75"/>
      <c r="B199" s="66"/>
      <c r="C199" s="66"/>
      <c r="D199" s="66"/>
      <c r="E199" s="66"/>
      <c r="F199" s="66"/>
      <c r="G199" s="66"/>
      <c r="H199" s="66"/>
      <c r="I199" s="66"/>
      <c r="J199" s="66"/>
      <c r="K199" s="67"/>
      <c r="L199" s="88"/>
      <c r="M199" s="69"/>
      <c r="N199" s="66"/>
      <c r="O199" s="66"/>
      <c r="P199" s="66"/>
      <c r="Q199" s="66"/>
      <c r="R199" s="67"/>
      <c r="S199" s="70"/>
      <c r="T199" s="54"/>
      <c r="U199" s="72"/>
      <c r="V199" s="73"/>
      <c r="W199" s="73"/>
      <c r="X199" s="84"/>
    </row>
    <row r="200" spans="1:24" s="63" customFormat="1" ht="15.75" customHeight="1">
      <c r="A200" s="75"/>
      <c r="B200" s="66"/>
      <c r="C200" s="66"/>
      <c r="D200" s="66"/>
      <c r="E200" s="66"/>
      <c r="F200" s="66"/>
      <c r="G200" s="66"/>
      <c r="H200" s="66"/>
      <c r="I200" s="66"/>
      <c r="J200" s="66"/>
      <c r="K200" s="67"/>
      <c r="L200" s="88"/>
      <c r="M200" s="69"/>
      <c r="N200" s="66"/>
      <c r="O200" s="66"/>
      <c r="P200" s="66"/>
      <c r="Q200" s="66"/>
      <c r="R200" s="67"/>
      <c r="S200" s="70"/>
      <c r="T200" s="54"/>
      <c r="U200" s="72"/>
      <c r="V200" s="73"/>
      <c r="W200" s="73"/>
      <c r="X200" s="84"/>
    </row>
    <row r="201" spans="1:24" s="63" customFormat="1" ht="15.75" customHeight="1">
      <c r="A201" s="65" t="s">
        <v>185</v>
      </c>
      <c r="B201" s="76" t="s">
        <v>179</v>
      </c>
      <c r="C201" s="66">
        <v>5</v>
      </c>
      <c r="D201" s="66">
        <v>4</v>
      </c>
      <c r="E201" s="66">
        <v>5</v>
      </c>
      <c r="F201" s="66">
        <v>3</v>
      </c>
      <c r="G201" s="66">
        <v>3</v>
      </c>
      <c r="H201" s="66">
        <v>1</v>
      </c>
      <c r="I201" s="66">
        <v>5</v>
      </c>
      <c r="J201" s="66">
        <v>1</v>
      </c>
      <c r="K201" s="67">
        <v>9</v>
      </c>
      <c r="L201" s="88"/>
      <c r="M201" s="159" t="s">
        <v>179</v>
      </c>
      <c r="N201" s="76" t="s">
        <v>179</v>
      </c>
      <c r="O201" s="66">
        <v>1</v>
      </c>
      <c r="P201" s="66" t="s">
        <v>179</v>
      </c>
      <c r="Q201" s="66" t="s">
        <v>179</v>
      </c>
      <c r="R201" s="66" t="s">
        <v>179</v>
      </c>
      <c r="S201" s="70" t="str">
        <f>VLOOKUP(T201,RWKavallerie,$AB$259,FALSE)</f>
        <v>6+</v>
      </c>
      <c r="T201" s="78">
        <f>VLOOKUP(Q201,RuestungKavallerie2,$AB$251,FALSE)+IF(R201=1,1,0)+IF(Q203="RH",1,0)</f>
        <v>1</v>
      </c>
      <c r="U201" s="72" t="s">
        <v>122</v>
      </c>
      <c r="V201" s="102" t="s">
        <v>179</v>
      </c>
      <c r="W201" s="73">
        <f>IF(B201="-",0,B201)*(26)+IF(N201="-",0,N201*10)+IF(M201="-",0,M201*10)+IF(V201="-",0,V201)</f>
        <v>0</v>
      </c>
      <c r="X201" s="79" t="s">
        <v>86</v>
      </c>
    </row>
    <row r="202" spans="1:24" s="63" customFormat="1" ht="15.75" customHeight="1">
      <c r="A202" s="75" t="s">
        <v>186</v>
      </c>
      <c r="B202" s="76" t="s">
        <v>179</v>
      </c>
      <c r="C202" s="66">
        <v>5</v>
      </c>
      <c r="D202" s="66">
        <v>4</v>
      </c>
      <c r="E202" s="66">
        <v>6</v>
      </c>
      <c r="F202" s="66">
        <v>3</v>
      </c>
      <c r="G202" s="66">
        <v>3</v>
      </c>
      <c r="H202" s="66">
        <v>1</v>
      </c>
      <c r="I202" s="66">
        <v>5</v>
      </c>
      <c r="J202" s="66">
        <v>1</v>
      </c>
      <c r="K202" s="67">
        <v>9</v>
      </c>
      <c r="L202" s="88"/>
      <c r="M202" s="69"/>
      <c r="N202" s="66"/>
      <c r="O202" s="66">
        <v>1</v>
      </c>
      <c r="P202" s="66" t="str">
        <f>P201</f>
        <v>-</v>
      </c>
      <c r="Q202" s="66" t="s">
        <v>179</v>
      </c>
      <c r="R202" s="67" t="str">
        <f>R201</f>
        <v>-</v>
      </c>
      <c r="S202" s="70" t="str">
        <f>VLOOKUP(T202,RWKavallerie,$AB$259,FALSE)</f>
        <v>6+</v>
      </c>
      <c r="T202" s="78">
        <f>VLOOKUP(Q202,RuestungKavallerie2,$AB$251,FALSE)+IF(R202=1,1,0)+IF(Q203="RH",1,0)</f>
        <v>1</v>
      </c>
      <c r="U202" s="72" t="s">
        <v>122</v>
      </c>
      <c r="V202" s="73"/>
      <c r="W202" s="73">
        <f>IF(B202="-",0,B202)*36</f>
        <v>0</v>
      </c>
      <c r="X202" s="79" t="s">
        <v>87</v>
      </c>
    </row>
    <row r="203" spans="1:24" s="63" customFormat="1" ht="15.75" customHeight="1">
      <c r="A203" s="75" t="s">
        <v>28</v>
      </c>
      <c r="B203" s="118" t="str">
        <f>IF(B202="-",B201,B201+B202)</f>
        <v>-</v>
      </c>
      <c r="C203" s="66">
        <v>9</v>
      </c>
      <c r="D203" s="66">
        <v>3</v>
      </c>
      <c r="E203" s="66">
        <v>0</v>
      </c>
      <c r="F203" s="66">
        <v>4</v>
      </c>
      <c r="G203" s="66">
        <v>3</v>
      </c>
      <c r="H203" s="66">
        <v>1</v>
      </c>
      <c r="I203" s="66">
        <v>4</v>
      </c>
      <c r="J203" s="66">
        <v>1</v>
      </c>
      <c r="K203" s="67">
        <v>5</v>
      </c>
      <c r="L203" s="68"/>
      <c r="M203" s="69"/>
      <c r="N203" s="66"/>
      <c r="O203" s="66"/>
      <c r="P203" s="66"/>
      <c r="Q203" s="66"/>
      <c r="R203" s="67"/>
      <c r="S203" s="70"/>
      <c r="T203" s="78">
        <f>VLOOKUP(Q201,RuestungKavallerie2,$AB$251,FALSE)+IF(R201=1,1,0)+IF(Q203="RH",1,0)</f>
        <v>1</v>
      </c>
      <c r="U203" s="72"/>
      <c r="V203" s="73"/>
      <c r="W203" s="73"/>
      <c r="X203" s="79" t="s">
        <v>88</v>
      </c>
    </row>
    <row r="204" spans="1:24" s="63" customFormat="1" ht="15.75" customHeight="1">
      <c r="A204" s="75"/>
      <c r="B204" s="66"/>
      <c r="C204" s="66"/>
      <c r="D204" s="66"/>
      <c r="E204" s="66"/>
      <c r="F204" s="66"/>
      <c r="G204" s="66"/>
      <c r="H204" s="66"/>
      <c r="I204" s="66"/>
      <c r="J204" s="66"/>
      <c r="K204" s="67"/>
      <c r="L204" s="88"/>
      <c r="M204" s="69"/>
      <c r="N204" s="66"/>
      <c r="O204" s="66"/>
      <c r="P204" s="66"/>
      <c r="Q204" s="66"/>
      <c r="R204" s="67"/>
      <c r="S204" s="70"/>
      <c r="T204" s="54"/>
      <c r="U204" s="72"/>
      <c r="V204" s="73"/>
      <c r="W204" s="73"/>
      <c r="X204" s="84" t="s">
        <v>3</v>
      </c>
    </row>
    <row r="205" spans="1:24" s="63" customFormat="1" ht="15.75" customHeight="1">
      <c r="A205" s="75"/>
      <c r="B205" s="66"/>
      <c r="C205" s="66"/>
      <c r="D205" s="66"/>
      <c r="E205" s="66"/>
      <c r="F205" s="66"/>
      <c r="G205" s="66"/>
      <c r="H205" s="66"/>
      <c r="I205" s="66"/>
      <c r="J205" s="66"/>
      <c r="K205" s="67"/>
      <c r="L205" s="88"/>
      <c r="M205" s="69"/>
      <c r="N205" s="66"/>
      <c r="O205" s="66"/>
      <c r="P205" s="66"/>
      <c r="Q205" s="66"/>
      <c r="R205" s="67"/>
      <c r="S205" s="70"/>
      <c r="T205" s="54"/>
      <c r="U205" s="72"/>
      <c r="V205" s="73"/>
      <c r="W205" s="73"/>
      <c r="X205" s="84" t="s">
        <v>4</v>
      </c>
    </row>
    <row r="206" spans="1:24" s="63" customFormat="1" ht="15.75" customHeight="1">
      <c r="A206" s="75"/>
      <c r="B206" s="66"/>
      <c r="C206" s="66"/>
      <c r="D206" s="66"/>
      <c r="E206" s="66"/>
      <c r="F206" s="66"/>
      <c r="G206" s="66"/>
      <c r="H206" s="66"/>
      <c r="I206" s="66"/>
      <c r="J206" s="66"/>
      <c r="K206" s="67"/>
      <c r="L206" s="88"/>
      <c r="M206" s="69"/>
      <c r="N206" s="66"/>
      <c r="O206" s="66"/>
      <c r="P206" s="66"/>
      <c r="Q206" s="66"/>
      <c r="R206" s="67"/>
      <c r="S206" s="70"/>
      <c r="T206" s="54"/>
      <c r="U206" s="72"/>
      <c r="V206" s="73"/>
      <c r="W206" s="73"/>
      <c r="X206" s="84" t="s">
        <v>5</v>
      </c>
    </row>
    <row r="207" spans="1:24" s="63" customFormat="1" ht="15.75" customHeight="1">
      <c r="A207" s="75"/>
      <c r="B207" s="66"/>
      <c r="C207" s="66"/>
      <c r="D207" s="66"/>
      <c r="E207" s="66"/>
      <c r="F207" s="66"/>
      <c r="G207" s="66"/>
      <c r="H207" s="66"/>
      <c r="I207" s="66"/>
      <c r="J207" s="66"/>
      <c r="K207" s="67"/>
      <c r="L207" s="88"/>
      <c r="M207" s="69"/>
      <c r="N207" s="66"/>
      <c r="O207" s="66"/>
      <c r="P207" s="66"/>
      <c r="Q207" s="66"/>
      <c r="R207" s="67"/>
      <c r="S207" s="70"/>
      <c r="T207" s="54"/>
      <c r="U207" s="72"/>
      <c r="V207" s="73"/>
      <c r="W207" s="73"/>
      <c r="X207" s="84" t="s">
        <v>6</v>
      </c>
    </row>
    <row r="208" spans="1:24" s="63" customFormat="1" ht="15.75" customHeight="1">
      <c r="A208" s="75"/>
      <c r="B208" s="66"/>
      <c r="C208" s="66"/>
      <c r="D208" s="66"/>
      <c r="E208" s="66"/>
      <c r="F208" s="66"/>
      <c r="G208" s="66"/>
      <c r="H208" s="66"/>
      <c r="I208" s="66"/>
      <c r="J208" s="66"/>
      <c r="K208" s="67"/>
      <c r="L208" s="88"/>
      <c r="M208" s="69"/>
      <c r="N208" s="66"/>
      <c r="O208" s="66"/>
      <c r="P208" s="66"/>
      <c r="Q208" s="66"/>
      <c r="R208" s="67"/>
      <c r="S208" s="70"/>
      <c r="T208" s="54"/>
      <c r="U208" s="72"/>
      <c r="V208" s="73"/>
      <c r="W208" s="73"/>
      <c r="X208" s="84"/>
    </row>
    <row r="209" spans="1:24" s="63" customFormat="1" ht="15.75" customHeight="1">
      <c r="A209" s="75"/>
      <c r="B209" s="66"/>
      <c r="C209" s="66"/>
      <c r="D209" s="66"/>
      <c r="E209" s="66"/>
      <c r="F209" s="66"/>
      <c r="G209" s="66"/>
      <c r="H209" s="66"/>
      <c r="I209" s="66"/>
      <c r="J209" s="66"/>
      <c r="K209" s="67"/>
      <c r="L209" s="88"/>
      <c r="M209" s="69"/>
      <c r="N209" s="66"/>
      <c r="O209" s="66"/>
      <c r="P209" s="66"/>
      <c r="Q209" s="66"/>
      <c r="R209" s="67"/>
      <c r="S209" s="70"/>
      <c r="T209" s="54"/>
      <c r="U209" s="72"/>
      <c r="V209" s="73"/>
      <c r="W209" s="73"/>
      <c r="X209" s="79"/>
    </row>
    <row r="210" spans="1:24" s="63" customFormat="1" ht="15.75" customHeight="1">
      <c r="A210" s="65" t="s">
        <v>79</v>
      </c>
      <c r="B210" s="76" t="s">
        <v>179</v>
      </c>
      <c r="C210" s="66">
        <v>5</v>
      </c>
      <c r="D210" s="66">
        <v>4</v>
      </c>
      <c r="E210" s="66">
        <v>4</v>
      </c>
      <c r="F210" s="77" t="s">
        <v>124</v>
      </c>
      <c r="G210" s="77" t="s">
        <v>124</v>
      </c>
      <c r="H210" s="77" t="s">
        <v>93</v>
      </c>
      <c r="I210" s="66">
        <v>5</v>
      </c>
      <c r="J210" s="66">
        <v>1</v>
      </c>
      <c r="K210" s="67">
        <v>8</v>
      </c>
      <c r="L210" s="88"/>
      <c r="M210" s="69"/>
      <c r="N210" s="66"/>
      <c r="O210" s="66">
        <v>1</v>
      </c>
      <c r="P210" s="66" t="s">
        <v>179</v>
      </c>
      <c r="Q210" s="66" t="s">
        <v>179</v>
      </c>
      <c r="R210" s="66" t="s">
        <v>179</v>
      </c>
      <c r="S210" s="70" t="str">
        <f>VLOOKUP(T210,RWKavallerie,$AB$259,FALSE)</f>
        <v>6+</v>
      </c>
      <c r="T210" s="78">
        <f>VLOOKUP(Q210,RuestungKavallerie2,$AB$251,FALSE)+IF(R210=1,1,0)+IF(Q212="RH",1,0)</f>
        <v>1</v>
      </c>
      <c r="U210" s="72"/>
      <c r="V210" s="73"/>
      <c r="W210" s="73">
        <f>IF(B210="-",0,B210)*45</f>
        <v>0</v>
      </c>
      <c r="X210" s="79" t="s">
        <v>236</v>
      </c>
    </row>
    <row r="211" spans="1:24" s="63" customFormat="1" ht="15.75" customHeight="1">
      <c r="A211" s="75" t="s">
        <v>84</v>
      </c>
      <c r="B211" s="76" t="s">
        <v>179</v>
      </c>
      <c r="C211" s="66">
        <v>5</v>
      </c>
      <c r="D211" s="66">
        <v>4</v>
      </c>
      <c r="E211" s="66">
        <v>4</v>
      </c>
      <c r="F211" s="77" t="s">
        <v>124</v>
      </c>
      <c r="G211" s="77" t="s">
        <v>124</v>
      </c>
      <c r="H211" s="77" t="s">
        <v>93</v>
      </c>
      <c r="I211" s="66">
        <v>5</v>
      </c>
      <c r="J211" s="66">
        <v>2</v>
      </c>
      <c r="K211" s="67">
        <v>8</v>
      </c>
      <c r="L211" s="88"/>
      <c r="M211" s="69"/>
      <c r="N211" s="66"/>
      <c r="O211" s="66">
        <v>1</v>
      </c>
      <c r="P211" s="66" t="str">
        <f>P210</f>
        <v>-</v>
      </c>
      <c r="Q211" s="66" t="s">
        <v>179</v>
      </c>
      <c r="R211" s="67" t="str">
        <f>R210</f>
        <v>-</v>
      </c>
      <c r="S211" s="70" t="str">
        <f>VLOOKUP(T211,RWKavallerie,$AB$259,FALSE)</f>
        <v>6+</v>
      </c>
      <c r="T211" s="78">
        <f>VLOOKUP(Q211,RuestungKavallerie2,$AB$251,FALSE)+IF(R211=1,1,0)+IF(Q212="RH",1,0)</f>
        <v>1</v>
      </c>
      <c r="U211" s="72"/>
      <c r="V211" s="73"/>
      <c r="W211" s="73">
        <f>IF(B211="-",0,B211)*55</f>
        <v>0</v>
      </c>
      <c r="X211" s="79" t="s">
        <v>220</v>
      </c>
    </row>
    <row r="212" spans="1:24" s="63" customFormat="1" ht="15.75" customHeight="1">
      <c r="A212" s="75" t="s">
        <v>76</v>
      </c>
      <c r="B212" s="118" t="str">
        <f>IF(B211="-",B210,B210+B211)</f>
        <v>-</v>
      </c>
      <c r="C212" s="66">
        <v>1</v>
      </c>
      <c r="D212" s="66">
        <v>4</v>
      </c>
      <c r="E212" s="66">
        <v>0</v>
      </c>
      <c r="F212" s="66">
        <v>4</v>
      </c>
      <c r="G212" s="66">
        <v>4</v>
      </c>
      <c r="H212" s="66">
        <v>3</v>
      </c>
      <c r="I212" s="66">
        <v>5</v>
      </c>
      <c r="J212" s="66">
        <v>2</v>
      </c>
      <c r="K212" s="67">
        <v>5</v>
      </c>
      <c r="L212" s="88"/>
      <c r="M212" s="69"/>
      <c r="N212" s="66"/>
      <c r="O212" s="66"/>
      <c r="P212" s="66"/>
      <c r="Q212" s="66"/>
      <c r="R212" s="67"/>
      <c r="S212" s="70"/>
      <c r="T212" s="54"/>
      <c r="U212" s="72"/>
      <c r="V212" s="73"/>
      <c r="W212" s="73"/>
      <c r="X212" s="79" t="s">
        <v>238</v>
      </c>
    </row>
    <row r="213" spans="1:24" s="63" customFormat="1" ht="15.75" customHeight="1">
      <c r="A213" s="75"/>
      <c r="B213" s="118"/>
      <c r="C213" s="66"/>
      <c r="D213" s="66"/>
      <c r="E213" s="66"/>
      <c r="F213" s="66"/>
      <c r="G213" s="66"/>
      <c r="H213" s="66"/>
      <c r="I213" s="66"/>
      <c r="J213" s="66"/>
      <c r="K213" s="67"/>
      <c r="L213" s="88"/>
      <c r="M213" s="69"/>
      <c r="N213" s="66"/>
      <c r="O213" s="66"/>
      <c r="P213" s="66"/>
      <c r="Q213" s="66"/>
      <c r="R213" s="67"/>
      <c r="S213" s="70"/>
      <c r="T213" s="54"/>
      <c r="U213" s="72"/>
      <c r="V213" s="73"/>
      <c r="W213" s="73"/>
      <c r="X213" s="84" t="s">
        <v>237</v>
      </c>
    </row>
    <row r="214" spans="1:24" s="63" customFormat="1" ht="15.75" customHeight="1">
      <c r="A214" s="75"/>
      <c r="B214" s="66"/>
      <c r="C214" s="66"/>
      <c r="D214" s="66"/>
      <c r="E214" s="66"/>
      <c r="F214" s="66"/>
      <c r="G214" s="66"/>
      <c r="H214" s="66"/>
      <c r="I214" s="66"/>
      <c r="J214" s="66"/>
      <c r="K214" s="67"/>
      <c r="L214" s="88"/>
      <c r="M214" s="69"/>
      <c r="N214" s="66"/>
      <c r="O214" s="66"/>
      <c r="P214" s="66"/>
      <c r="Q214" s="66"/>
      <c r="R214" s="67"/>
      <c r="S214" s="70"/>
      <c r="T214" s="54"/>
      <c r="U214" s="72"/>
      <c r="V214" s="73"/>
      <c r="W214" s="73"/>
      <c r="X214" s="79" t="s">
        <v>239</v>
      </c>
    </row>
    <row r="215" spans="1:24" s="63" customFormat="1" ht="15.75" customHeight="1">
      <c r="A215" s="65"/>
      <c r="B215" s="66"/>
      <c r="C215" s="66"/>
      <c r="D215" s="66"/>
      <c r="E215" s="66"/>
      <c r="F215" s="66"/>
      <c r="G215" s="66"/>
      <c r="H215" s="66"/>
      <c r="I215" s="66"/>
      <c r="J215" s="66"/>
      <c r="K215" s="67"/>
      <c r="L215" s="88"/>
      <c r="M215" s="69"/>
      <c r="N215" s="66"/>
      <c r="O215" s="66"/>
      <c r="P215" s="66"/>
      <c r="Q215" s="66"/>
      <c r="R215" s="67"/>
      <c r="S215" s="70"/>
      <c r="T215" s="54"/>
      <c r="U215" s="72"/>
      <c r="V215" s="73"/>
      <c r="W215" s="73"/>
      <c r="X215" s="84"/>
    </row>
    <row r="216" spans="1:24" s="63" customFormat="1" ht="15.75" customHeight="1">
      <c r="A216" s="75"/>
      <c r="B216" s="66"/>
      <c r="C216" s="66"/>
      <c r="D216" s="66"/>
      <c r="E216" s="66"/>
      <c r="F216" s="66"/>
      <c r="G216" s="66"/>
      <c r="H216" s="66"/>
      <c r="I216" s="66"/>
      <c r="J216" s="66"/>
      <c r="K216" s="67"/>
      <c r="L216" s="88"/>
      <c r="M216" s="69"/>
      <c r="N216" s="66"/>
      <c r="O216" s="66"/>
      <c r="P216" s="66"/>
      <c r="Q216" s="66"/>
      <c r="R216" s="67"/>
      <c r="S216" s="70"/>
      <c r="T216" s="54"/>
      <c r="U216" s="72"/>
      <c r="V216" s="73"/>
      <c r="W216" s="73"/>
      <c r="X216" s="84"/>
    </row>
    <row r="217" spans="1:24" s="63" customFormat="1" ht="15.75" customHeight="1">
      <c r="A217" s="75" t="s">
        <v>77</v>
      </c>
      <c r="B217" s="76" t="s">
        <v>179</v>
      </c>
      <c r="C217" s="66">
        <v>5</v>
      </c>
      <c r="D217" s="66">
        <v>4</v>
      </c>
      <c r="E217" s="66">
        <v>4</v>
      </c>
      <c r="F217" s="66">
        <v>4</v>
      </c>
      <c r="G217" s="66">
        <v>5</v>
      </c>
      <c r="H217" s="66">
        <v>3</v>
      </c>
      <c r="I217" s="66">
        <v>3</v>
      </c>
      <c r="J217" s="66">
        <v>3</v>
      </c>
      <c r="K217" s="67">
        <v>8</v>
      </c>
      <c r="L217" s="88"/>
      <c r="M217" s="69"/>
      <c r="N217" s="66"/>
      <c r="O217" s="66">
        <v>1</v>
      </c>
      <c r="P217" s="66" t="s">
        <v>179</v>
      </c>
      <c r="Q217" s="66" t="s">
        <v>179</v>
      </c>
      <c r="R217" s="66" t="s">
        <v>179</v>
      </c>
      <c r="S217" s="70" t="s">
        <v>122</v>
      </c>
      <c r="T217" s="78"/>
      <c r="U217" s="72" t="s">
        <v>56</v>
      </c>
      <c r="V217" s="73"/>
      <c r="W217" s="73">
        <f>(IF(B217="-",0,B217)*45)</f>
        <v>0</v>
      </c>
      <c r="X217" s="79" t="s">
        <v>212</v>
      </c>
    </row>
    <row r="218" spans="1:24" s="63" customFormat="1" ht="15.75" customHeight="1">
      <c r="A218" s="75" t="s">
        <v>30</v>
      </c>
      <c r="B218" s="76" t="s">
        <v>179</v>
      </c>
      <c r="C218" s="66">
        <v>5</v>
      </c>
      <c r="D218" s="66">
        <v>4</v>
      </c>
      <c r="E218" s="66">
        <v>4</v>
      </c>
      <c r="F218" s="66">
        <v>4</v>
      </c>
      <c r="G218" s="66">
        <v>5</v>
      </c>
      <c r="H218" s="66">
        <v>3</v>
      </c>
      <c r="I218" s="66">
        <v>3</v>
      </c>
      <c r="J218" s="66">
        <v>4</v>
      </c>
      <c r="K218" s="67">
        <v>8</v>
      </c>
      <c r="L218" s="88"/>
      <c r="M218" s="69"/>
      <c r="N218" s="66"/>
      <c r="O218" s="66">
        <v>1</v>
      </c>
      <c r="P218" s="66" t="str">
        <f>P217</f>
        <v>-</v>
      </c>
      <c r="Q218" s="66" t="s">
        <v>179</v>
      </c>
      <c r="R218" s="67" t="str">
        <f>R217</f>
        <v>-</v>
      </c>
      <c r="S218" s="70" t="s">
        <v>122</v>
      </c>
      <c r="T218" s="78"/>
      <c r="U218" s="72" t="s">
        <v>56</v>
      </c>
      <c r="V218" s="73"/>
      <c r="W218" s="73">
        <f>IF(B218="-",0,B218)*(45+10)</f>
        <v>0</v>
      </c>
      <c r="X218" s="79" t="s">
        <v>90</v>
      </c>
    </row>
    <row r="219" spans="1:24" s="63" customFormat="1" ht="15.75" customHeight="1">
      <c r="A219" s="75"/>
      <c r="B219" s="118"/>
      <c r="C219" s="66"/>
      <c r="D219" s="66"/>
      <c r="E219" s="66"/>
      <c r="F219" s="66"/>
      <c r="G219" s="66"/>
      <c r="H219" s="66"/>
      <c r="I219" s="66"/>
      <c r="J219" s="66"/>
      <c r="K219" s="67"/>
      <c r="L219" s="88"/>
      <c r="M219" s="69"/>
      <c r="N219" s="66"/>
      <c r="O219" s="67"/>
      <c r="P219" s="67"/>
      <c r="Q219" s="66"/>
      <c r="R219" s="67"/>
      <c r="S219" s="70"/>
      <c r="T219" s="81"/>
      <c r="U219" s="72"/>
      <c r="V219" s="73"/>
      <c r="W219" s="73"/>
      <c r="X219" s="83" t="s">
        <v>213</v>
      </c>
    </row>
    <row r="220" spans="1:24" s="63" customFormat="1" ht="15.75" customHeight="1">
      <c r="A220" s="75"/>
      <c r="B220" s="118"/>
      <c r="C220" s="66"/>
      <c r="D220" s="66"/>
      <c r="E220" s="66"/>
      <c r="F220" s="66"/>
      <c r="G220" s="66"/>
      <c r="H220" s="66"/>
      <c r="I220" s="66"/>
      <c r="J220" s="66"/>
      <c r="K220" s="67"/>
      <c r="L220" s="88"/>
      <c r="M220" s="69"/>
      <c r="N220" s="66"/>
      <c r="O220" s="67"/>
      <c r="P220" s="67"/>
      <c r="Q220" s="66"/>
      <c r="R220" s="67"/>
      <c r="S220" s="70"/>
      <c r="T220" s="81"/>
      <c r="U220" s="72"/>
      <c r="V220" s="73"/>
      <c r="W220" s="73"/>
      <c r="X220" s="85"/>
    </row>
    <row r="221" spans="1:24" s="63" customFormat="1" ht="15.75" customHeight="1">
      <c r="A221" s="75"/>
      <c r="B221" s="118"/>
      <c r="C221" s="66"/>
      <c r="D221" s="66"/>
      <c r="E221" s="66"/>
      <c r="F221" s="66"/>
      <c r="G221" s="66"/>
      <c r="H221" s="66"/>
      <c r="I221" s="66"/>
      <c r="J221" s="66"/>
      <c r="K221" s="67"/>
      <c r="L221" s="88"/>
      <c r="M221" s="164"/>
      <c r="N221" s="141"/>
      <c r="O221" s="160"/>
      <c r="P221" s="160"/>
      <c r="Q221" s="141"/>
      <c r="R221" s="165"/>
      <c r="S221" s="166"/>
      <c r="T221" s="167"/>
      <c r="U221" s="168"/>
      <c r="V221" s="169"/>
      <c r="W221" s="73"/>
      <c r="X221" s="85"/>
    </row>
    <row r="222" spans="1:28" s="63" customFormat="1" ht="24.75" customHeight="1">
      <c r="A222" s="152" t="s">
        <v>173</v>
      </c>
      <c r="B222" s="153" t="s">
        <v>54</v>
      </c>
      <c r="C222" s="154" t="s">
        <v>309</v>
      </c>
      <c r="D222" s="154" t="s">
        <v>190</v>
      </c>
      <c r="E222" s="154" t="s">
        <v>191</v>
      </c>
      <c r="F222" s="154" t="s">
        <v>250</v>
      </c>
      <c r="G222" s="154" t="s">
        <v>310</v>
      </c>
      <c r="H222" s="154" t="s">
        <v>192</v>
      </c>
      <c r="I222" s="154" t="s">
        <v>193</v>
      </c>
      <c r="J222" s="154" t="s">
        <v>194</v>
      </c>
      <c r="K222" s="154" t="s">
        <v>195</v>
      </c>
      <c r="L222" s="155"/>
      <c r="M222" s="154" t="s">
        <v>163</v>
      </c>
      <c r="N222" s="154" t="s">
        <v>164</v>
      </c>
      <c r="O222" s="154" t="s">
        <v>127</v>
      </c>
      <c r="P222" s="154" t="s">
        <v>247</v>
      </c>
      <c r="Q222" s="154" t="s">
        <v>187</v>
      </c>
      <c r="R222" s="154" t="s">
        <v>189</v>
      </c>
      <c r="S222" s="156" t="s">
        <v>114</v>
      </c>
      <c r="T222" s="154"/>
      <c r="U222" s="157" t="s">
        <v>188</v>
      </c>
      <c r="V222" s="38" t="s">
        <v>171</v>
      </c>
      <c r="W222" s="158" t="s">
        <v>52</v>
      </c>
      <c r="X222" s="157" t="s">
        <v>203</v>
      </c>
      <c r="Z222" s="64" t="s">
        <v>300</v>
      </c>
      <c r="AA222" s="64">
        <f>SUM(W223:W241)</f>
        <v>0</v>
      </c>
      <c r="AB222" s="64" t="s">
        <v>52</v>
      </c>
    </row>
    <row r="223" spans="1:24" s="63" customFormat="1" ht="15.75" customHeight="1">
      <c r="A223" s="65"/>
      <c r="B223" s="66"/>
      <c r="C223" s="66"/>
      <c r="D223" s="66"/>
      <c r="E223" s="66"/>
      <c r="F223" s="66"/>
      <c r="G223" s="66"/>
      <c r="H223" s="66"/>
      <c r="I223" s="66"/>
      <c r="J223" s="66"/>
      <c r="K223" s="67"/>
      <c r="L223" s="88"/>
      <c r="M223" s="69"/>
      <c r="N223" s="66"/>
      <c r="O223" s="66"/>
      <c r="P223" s="66"/>
      <c r="Q223" s="66"/>
      <c r="R223" s="67"/>
      <c r="S223" s="70"/>
      <c r="T223" s="54"/>
      <c r="U223" s="72"/>
      <c r="V223" s="73"/>
      <c r="W223" s="73"/>
      <c r="X223" s="79"/>
    </row>
    <row r="224" spans="1:24" s="63" customFormat="1" ht="15.75" customHeight="1">
      <c r="A224" s="75" t="s">
        <v>128</v>
      </c>
      <c r="B224" s="76" t="s">
        <v>179</v>
      </c>
      <c r="C224" s="66">
        <v>5</v>
      </c>
      <c r="D224" s="66">
        <v>4</v>
      </c>
      <c r="E224" s="66">
        <v>5</v>
      </c>
      <c r="F224" s="66">
        <v>3</v>
      </c>
      <c r="G224" s="66">
        <v>3</v>
      </c>
      <c r="H224" s="66">
        <v>1</v>
      </c>
      <c r="I224" s="66">
        <v>5</v>
      </c>
      <c r="J224" s="77" t="s">
        <v>130</v>
      </c>
      <c r="K224" s="67">
        <v>8</v>
      </c>
      <c r="L224" s="88"/>
      <c r="M224" s="69"/>
      <c r="N224" s="66"/>
      <c r="O224" s="66">
        <v>2</v>
      </c>
      <c r="P224" s="66" t="s">
        <v>179</v>
      </c>
      <c r="Q224" s="66" t="s">
        <v>179</v>
      </c>
      <c r="R224" s="66" t="s">
        <v>179</v>
      </c>
      <c r="S224" s="70" t="str">
        <f>VLOOKUP(T224,RW,$Z$259,FALSE)</f>
        <v>-</v>
      </c>
      <c r="T224" s="78">
        <f>VLOOKUP(Q224,Ruestung,$Z$251,FALSE)+IF(R224=1,1,0)</f>
        <v>0</v>
      </c>
      <c r="U224" s="72"/>
      <c r="V224" s="73"/>
      <c r="W224" s="73">
        <f>IF(B224="-",0,B224*(20))</f>
        <v>0</v>
      </c>
      <c r="X224" s="79" t="s">
        <v>219</v>
      </c>
    </row>
    <row r="225" spans="1:24" s="63" customFormat="1" ht="15.75" customHeight="1">
      <c r="A225" s="75" t="s">
        <v>29</v>
      </c>
      <c r="B225" s="76" t="s">
        <v>179</v>
      </c>
      <c r="C225" s="66">
        <v>5</v>
      </c>
      <c r="D225" s="66">
        <v>4</v>
      </c>
      <c r="E225" s="66">
        <v>6</v>
      </c>
      <c r="F225" s="66">
        <v>3</v>
      </c>
      <c r="G225" s="66">
        <v>3</v>
      </c>
      <c r="H225" s="66">
        <v>1</v>
      </c>
      <c r="I225" s="66">
        <v>5</v>
      </c>
      <c r="J225" s="77" t="s">
        <v>130</v>
      </c>
      <c r="K225" s="67">
        <v>8</v>
      </c>
      <c r="L225" s="88"/>
      <c r="M225" s="69"/>
      <c r="N225" s="66"/>
      <c r="O225" s="118">
        <v>2</v>
      </c>
      <c r="P225" s="118" t="str">
        <f>P224</f>
        <v>-</v>
      </c>
      <c r="Q225" s="118" t="str">
        <f>Q224</f>
        <v>-</v>
      </c>
      <c r="R225" s="118" t="str">
        <f>R224</f>
        <v>-</v>
      </c>
      <c r="S225" s="70" t="str">
        <f>VLOOKUP(T225,RW,$Z$259,FALSE)</f>
        <v>-</v>
      </c>
      <c r="T225" s="78">
        <f>VLOOKUP(Q225,Ruestung,$Z$251,FALSE)+IF(R225=1,1,0)</f>
        <v>0</v>
      </c>
      <c r="U225" s="72"/>
      <c r="V225" s="73"/>
      <c r="W225" s="73">
        <f>IF(B225="-",0,B225)*30</f>
        <v>0</v>
      </c>
      <c r="X225" s="79" t="s">
        <v>220</v>
      </c>
    </row>
    <row r="226" spans="1:24" s="63" customFormat="1" ht="15.75" customHeight="1">
      <c r="A226" s="75"/>
      <c r="B226" s="89"/>
      <c r="C226" s="89"/>
      <c r="D226" s="89"/>
      <c r="E226" s="89"/>
      <c r="F226" s="89"/>
      <c r="G226" s="89"/>
      <c r="H226" s="89"/>
      <c r="I226" s="89"/>
      <c r="J226" s="89"/>
      <c r="K226" s="90"/>
      <c r="L226" s="88"/>
      <c r="M226" s="69"/>
      <c r="N226" s="66"/>
      <c r="O226" s="118"/>
      <c r="P226" s="118"/>
      <c r="Q226" s="118"/>
      <c r="R226" s="160"/>
      <c r="S226" s="91"/>
      <c r="T226" s="170"/>
      <c r="U226" s="93"/>
      <c r="V226" s="94"/>
      <c r="W226" s="94"/>
      <c r="X226" s="83" t="s">
        <v>221</v>
      </c>
    </row>
    <row r="227" spans="1:24" s="63" customFormat="1" ht="15.75" customHeight="1">
      <c r="A227" s="75"/>
      <c r="B227" s="89"/>
      <c r="C227" s="89"/>
      <c r="D227" s="89"/>
      <c r="E227" s="89"/>
      <c r="F227" s="89"/>
      <c r="G227" s="89"/>
      <c r="H227" s="89"/>
      <c r="I227" s="89"/>
      <c r="J227" s="89"/>
      <c r="K227" s="90"/>
      <c r="L227" s="88"/>
      <c r="M227" s="69"/>
      <c r="N227" s="66"/>
      <c r="O227" s="118"/>
      <c r="P227" s="118"/>
      <c r="Q227" s="118"/>
      <c r="R227" s="160"/>
      <c r="S227" s="91"/>
      <c r="T227" s="170"/>
      <c r="U227" s="93"/>
      <c r="V227" s="94"/>
      <c r="W227" s="94"/>
      <c r="X227" s="127" t="s">
        <v>222</v>
      </c>
    </row>
    <row r="228" spans="1:24" s="63" customFormat="1" ht="15.75" customHeight="1">
      <c r="A228" s="75"/>
      <c r="B228" s="66"/>
      <c r="C228" s="89"/>
      <c r="D228" s="89"/>
      <c r="E228" s="89"/>
      <c r="F228" s="89"/>
      <c r="G228" s="89"/>
      <c r="H228" s="89"/>
      <c r="I228" s="89"/>
      <c r="J228" s="89"/>
      <c r="K228" s="90"/>
      <c r="L228" s="88"/>
      <c r="M228" s="69"/>
      <c r="N228" s="66"/>
      <c r="O228" s="66"/>
      <c r="P228" s="66"/>
      <c r="Q228" s="66"/>
      <c r="R228" s="67"/>
      <c r="S228" s="91"/>
      <c r="T228" s="92"/>
      <c r="U228" s="93"/>
      <c r="V228" s="94"/>
      <c r="W228" s="94"/>
      <c r="X228" s="109"/>
    </row>
    <row r="229" spans="1:24" s="63" customFormat="1" ht="15.75" customHeight="1">
      <c r="A229" s="75"/>
      <c r="B229" s="66"/>
      <c r="C229" s="89"/>
      <c r="D229" s="89"/>
      <c r="E229" s="89"/>
      <c r="F229" s="89"/>
      <c r="G229" s="89"/>
      <c r="H229" s="89"/>
      <c r="I229" s="89"/>
      <c r="J229" s="89"/>
      <c r="K229" s="90"/>
      <c r="L229" s="88"/>
      <c r="M229" s="69"/>
      <c r="N229" s="66"/>
      <c r="O229" s="66"/>
      <c r="P229" s="66"/>
      <c r="Q229" s="66"/>
      <c r="R229" s="67"/>
      <c r="S229" s="91"/>
      <c r="T229" s="92"/>
      <c r="U229" s="93"/>
      <c r="V229" s="94"/>
      <c r="W229" s="94"/>
      <c r="X229" s="109"/>
    </row>
    <row r="230" spans="1:24" s="63" customFormat="1" ht="15.75" customHeight="1">
      <c r="A230" s="65" t="s">
        <v>63</v>
      </c>
      <c r="B230" s="76" t="s">
        <v>179</v>
      </c>
      <c r="C230" s="66">
        <v>2</v>
      </c>
      <c r="D230" s="66">
        <v>5</v>
      </c>
      <c r="E230" s="66">
        <v>0</v>
      </c>
      <c r="F230" s="66">
        <v>4</v>
      </c>
      <c r="G230" s="66">
        <v>4</v>
      </c>
      <c r="H230" s="66">
        <v>3</v>
      </c>
      <c r="I230" s="66">
        <v>4</v>
      </c>
      <c r="J230" s="66">
        <v>2</v>
      </c>
      <c r="K230" s="66">
        <v>8</v>
      </c>
      <c r="L230" s="88"/>
      <c r="M230" s="69"/>
      <c r="N230" s="66"/>
      <c r="O230" s="66">
        <v>1</v>
      </c>
      <c r="P230" s="66" t="s">
        <v>179</v>
      </c>
      <c r="Q230" s="66" t="s">
        <v>179</v>
      </c>
      <c r="R230" s="66" t="s">
        <v>179</v>
      </c>
      <c r="S230" s="91"/>
      <c r="T230" s="92"/>
      <c r="U230" s="93"/>
      <c r="V230" s="94"/>
      <c r="W230" s="73">
        <f>(IF(B230="-",0,B230)*50)</f>
        <v>0</v>
      </c>
      <c r="X230" s="83" t="s">
        <v>140</v>
      </c>
    </row>
    <row r="231" spans="1:24" s="63" customFormat="1" ht="15.75" customHeight="1">
      <c r="A231" s="108"/>
      <c r="B231" s="89"/>
      <c r="C231" s="66"/>
      <c r="D231" s="66"/>
      <c r="E231" s="66"/>
      <c r="F231" s="66"/>
      <c r="G231" s="66"/>
      <c r="H231" s="66"/>
      <c r="I231" s="66"/>
      <c r="J231" s="66"/>
      <c r="K231" s="67"/>
      <c r="L231" s="88"/>
      <c r="M231" s="69"/>
      <c r="N231" s="66"/>
      <c r="O231" s="89"/>
      <c r="P231" s="89"/>
      <c r="Q231" s="89"/>
      <c r="R231" s="90"/>
      <c r="S231" s="91"/>
      <c r="T231" s="92"/>
      <c r="U231" s="93"/>
      <c r="V231" s="94"/>
      <c r="W231" s="94"/>
      <c r="X231" s="85"/>
    </row>
    <row r="232" spans="1:24" s="63" customFormat="1" ht="15.75" customHeight="1">
      <c r="A232" s="87"/>
      <c r="B232" s="89"/>
      <c r="C232" s="66"/>
      <c r="D232" s="66"/>
      <c r="E232" s="66"/>
      <c r="F232" s="66"/>
      <c r="G232" s="66"/>
      <c r="H232" s="66"/>
      <c r="I232" s="66"/>
      <c r="J232" s="66"/>
      <c r="K232" s="67"/>
      <c r="L232" s="88"/>
      <c r="M232" s="69"/>
      <c r="N232" s="66"/>
      <c r="O232" s="89"/>
      <c r="P232" s="89"/>
      <c r="Q232" s="89"/>
      <c r="R232" s="90"/>
      <c r="S232" s="91"/>
      <c r="T232" s="92"/>
      <c r="U232" s="93"/>
      <c r="V232" s="94"/>
      <c r="W232" s="94"/>
      <c r="X232" s="85"/>
    </row>
    <row r="233" spans="1:24" s="63" customFormat="1" ht="15.75" customHeight="1">
      <c r="A233" s="87" t="s">
        <v>78</v>
      </c>
      <c r="B233" s="76" t="s">
        <v>179</v>
      </c>
      <c r="C233" s="66">
        <v>5</v>
      </c>
      <c r="D233" s="66">
        <v>6</v>
      </c>
      <c r="E233" s="66">
        <v>6</v>
      </c>
      <c r="F233" s="66">
        <v>5</v>
      </c>
      <c r="G233" s="66">
        <v>6</v>
      </c>
      <c r="H233" s="66">
        <v>5</v>
      </c>
      <c r="I233" s="66">
        <v>2</v>
      </c>
      <c r="J233" s="66">
        <v>5</v>
      </c>
      <c r="K233" s="67">
        <v>9</v>
      </c>
      <c r="L233" s="88"/>
      <c r="M233" s="69"/>
      <c r="N233" s="66"/>
      <c r="O233" s="66">
        <v>1</v>
      </c>
      <c r="P233" s="66" t="s">
        <v>179</v>
      </c>
      <c r="Q233" s="66" t="s">
        <v>179</v>
      </c>
      <c r="R233" s="66" t="s">
        <v>179</v>
      </c>
      <c r="S233" s="70" t="s">
        <v>209</v>
      </c>
      <c r="T233" s="78"/>
      <c r="U233" s="72" t="s">
        <v>56</v>
      </c>
      <c r="V233" s="94"/>
      <c r="W233" s="73">
        <f>IF(B233="-",0,B233)*(225+VLOOKUP($X238,Baummensch,$Y$318,FALSE))</f>
        <v>0</v>
      </c>
      <c r="X233" s="79" t="s">
        <v>160</v>
      </c>
    </row>
    <row r="234" spans="1:24" s="63" customFormat="1" ht="15.75" customHeight="1">
      <c r="A234" s="87"/>
      <c r="B234" s="66"/>
      <c r="C234" s="66"/>
      <c r="D234" s="66"/>
      <c r="E234" s="66"/>
      <c r="F234" s="66"/>
      <c r="G234" s="66"/>
      <c r="H234" s="66"/>
      <c r="I234" s="66"/>
      <c r="J234" s="66"/>
      <c r="K234" s="67"/>
      <c r="L234" s="88"/>
      <c r="M234" s="69"/>
      <c r="N234" s="66"/>
      <c r="O234" s="89"/>
      <c r="P234" s="89"/>
      <c r="Q234" s="89"/>
      <c r="R234" s="90"/>
      <c r="S234" s="91"/>
      <c r="T234" s="92"/>
      <c r="U234" s="93"/>
      <c r="V234" s="94"/>
      <c r="W234" s="94"/>
      <c r="X234" s="83" t="s">
        <v>141</v>
      </c>
    </row>
    <row r="235" spans="1:24" s="63" customFormat="1" ht="15.75" customHeight="1">
      <c r="A235" s="87"/>
      <c r="B235" s="66"/>
      <c r="C235" s="66"/>
      <c r="D235" s="66"/>
      <c r="E235" s="66"/>
      <c r="F235" s="66"/>
      <c r="G235" s="66"/>
      <c r="H235" s="66"/>
      <c r="I235" s="66"/>
      <c r="J235" s="66"/>
      <c r="K235" s="67"/>
      <c r="L235" s="88"/>
      <c r="M235" s="69"/>
      <c r="N235" s="66"/>
      <c r="O235" s="89"/>
      <c r="P235" s="89"/>
      <c r="Q235" s="89"/>
      <c r="R235" s="90"/>
      <c r="S235" s="91"/>
      <c r="T235" s="92"/>
      <c r="U235" s="93"/>
      <c r="V235" s="94"/>
      <c r="W235" s="94"/>
      <c r="X235" s="85" t="s">
        <v>142</v>
      </c>
    </row>
    <row r="236" spans="1:24" s="63" customFormat="1" ht="15.75" customHeight="1">
      <c r="A236" s="87"/>
      <c r="B236" s="66"/>
      <c r="C236" s="66"/>
      <c r="D236" s="66"/>
      <c r="E236" s="66"/>
      <c r="F236" s="66"/>
      <c r="G236" s="66"/>
      <c r="H236" s="66"/>
      <c r="I236" s="66"/>
      <c r="J236" s="66"/>
      <c r="K236" s="67"/>
      <c r="L236" s="88"/>
      <c r="M236" s="69"/>
      <c r="N236" s="66"/>
      <c r="O236" s="89"/>
      <c r="P236" s="89"/>
      <c r="Q236" s="89"/>
      <c r="R236" s="90"/>
      <c r="S236" s="91"/>
      <c r="T236" s="92"/>
      <c r="U236" s="93"/>
      <c r="V236" s="94"/>
      <c r="W236" s="94"/>
      <c r="X236" s="95" t="s">
        <v>218</v>
      </c>
    </row>
    <row r="237" spans="1:24" s="63" customFormat="1" ht="15.75" customHeight="1">
      <c r="A237" s="75"/>
      <c r="B237" s="66"/>
      <c r="C237" s="66"/>
      <c r="D237" s="66"/>
      <c r="E237" s="66"/>
      <c r="F237" s="66"/>
      <c r="G237" s="66"/>
      <c r="H237" s="66"/>
      <c r="I237" s="66"/>
      <c r="J237" s="66"/>
      <c r="K237" s="67"/>
      <c r="L237" s="88"/>
      <c r="M237" s="69"/>
      <c r="N237" s="66"/>
      <c r="O237" s="89"/>
      <c r="P237" s="89"/>
      <c r="Q237" s="89"/>
      <c r="R237" s="90"/>
      <c r="S237" s="91"/>
      <c r="T237" s="92"/>
      <c r="U237" s="93"/>
      <c r="V237" s="94"/>
      <c r="W237" s="94"/>
      <c r="X237" s="83" t="s">
        <v>267</v>
      </c>
    </row>
    <row r="238" spans="1:24" s="63" customFormat="1" ht="15.75" customHeight="1">
      <c r="A238" s="87"/>
      <c r="B238" s="89"/>
      <c r="C238" s="89"/>
      <c r="D238" s="89"/>
      <c r="E238" s="89"/>
      <c r="F238" s="89"/>
      <c r="G238" s="89"/>
      <c r="H238" s="89"/>
      <c r="I238" s="89"/>
      <c r="J238" s="89"/>
      <c r="K238" s="90"/>
      <c r="L238" s="171"/>
      <c r="M238" s="98"/>
      <c r="N238" s="89"/>
      <c r="O238" s="89"/>
      <c r="P238" s="89"/>
      <c r="Q238" s="89"/>
      <c r="R238" s="90"/>
      <c r="S238" s="91"/>
      <c r="T238" s="92"/>
      <c r="U238" s="93"/>
      <c r="V238" s="94"/>
      <c r="W238" s="94"/>
      <c r="X238" s="110" t="s">
        <v>215</v>
      </c>
    </row>
    <row r="239" spans="1:24" s="63" customFormat="1" ht="15.75" customHeight="1">
      <c r="A239" s="87"/>
      <c r="B239" s="89"/>
      <c r="C239" s="89"/>
      <c r="D239" s="89"/>
      <c r="E239" s="89"/>
      <c r="F239" s="89"/>
      <c r="G239" s="89"/>
      <c r="H239" s="89"/>
      <c r="I239" s="89"/>
      <c r="J239" s="89"/>
      <c r="K239" s="90"/>
      <c r="L239" s="171"/>
      <c r="M239" s="98"/>
      <c r="N239" s="89"/>
      <c r="O239" s="89"/>
      <c r="P239" s="89"/>
      <c r="Q239" s="89"/>
      <c r="R239" s="90"/>
      <c r="S239" s="91"/>
      <c r="T239" s="92"/>
      <c r="U239" s="93"/>
      <c r="V239" s="94"/>
      <c r="W239" s="94"/>
      <c r="X239" s="85"/>
    </row>
    <row r="240" spans="1:24" s="63" customFormat="1" ht="15.75" customHeight="1">
      <c r="A240" s="87"/>
      <c r="B240" s="89"/>
      <c r="C240" s="89"/>
      <c r="D240" s="89"/>
      <c r="E240" s="89"/>
      <c r="F240" s="89"/>
      <c r="G240" s="89"/>
      <c r="H240" s="89"/>
      <c r="I240" s="89"/>
      <c r="J240" s="89"/>
      <c r="K240" s="90"/>
      <c r="L240" s="171"/>
      <c r="M240" s="98"/>
      <c r="N240" s="89"/>
      <c r="O240" s="89"/>
      <c r="P240" s="89"/>
      <c r="Q240" s="89"/>
      <c r="R240" s="90"/>
      <c r="S240" s="91"/>
      <c r="T240" s="92"/>
      <c r="U240" s="93"/>
      <c r="V240" s="94"/>
      <c r="W240" s="94"/>
      <c r="X240" s="95"/>
    </row>
    <row r="241" spans="1:24" s="63" customFormat="1" ht="15.75" customHeight="1" thickBot="1">
      <c r="A241" s="172"/>
      <c r="B241" s="173"/>
      <c r="C241" s="173"/>
      <c r="D241" s="173"/>
      <c r="E241" s="173"/>
      <c r="F241" s="173"/>
      <c r="G241" s="173"/>
      <c r="H241" s="173"/>
      <c r="I241" s="173"/>
      <c r="J241" s="173"/>
      <c r="K241" s="174"/>
      <c r="L241" s="175"/>
      <c r="M241" s="176"/>
      <c r="N241" s="173"/>
      <c r="O241" s="173"/>
      <c r="P241" s="173"/>
      <c r="Q241" s="173"/>
      <c r="R241" s="174"/>
      <c r="S241" s="177"/>
      <c r="T241" s="178"/>
      <c r="U241" s="179"/>
      <c r="V241" s="180"/>
      <c r="W241" s="180"/>
      <c r="X241" s="181"/>
    </row>
    <row r="242" spans="1:24" ht="13.5" customHeight="1">
      <c r="A242" s="8"/>
      <c r="B242" s="9"/>
      <c r="C242" s="10"/>
      <c r="D242" s="10"/>
      <c r="E242" s="10"/>
      <c r="F242" s="10"/>
      <c r="G242" s="10"/>
      <c r="H242" s="10"/>
      <c r="I242" s="10"/>
      <c r="J242" s="10"/>
      <c r="K242" s="13"/>
      <c r="L242" s="14"/>
      <c r="M242" s="15"/>
      <c r="N242" s="11"/>
      <c r="O242" s="11"/>
      <c r="P242" s="11"/>
      <c r="Q242" s="11"/>
      <c r="R242" s="11" t="s">
        <v>201</v>
      </c>
      <c r="S242" s="11"/>
      <c r="T242" s="11"/>
      <c r="U242" s="11"/>
      <c r="V242" s="45">
        <f>SUM(W10:W241)</f>
        <v>0</v>
      </c>
      <c r="W242" s="45"/>
      <c r="X242" s="12"/>
    </row>
    <row r="243" spans="1:24" ht="12">
      <c r="A243" s="4"/>
      <c r="B243" s="2"/>
      <c r="N243" s="5"/>
      <c r="O243" s="5"/>
      <c r="P243" s="5"/>
      <c r="Q243" s="5"/>
      <c r="R243" s="5"/>
      <c r="S243" s="5"/>
      <c r="T243" s="5"/>
      <c r="U243" s="5"/>
      <c r="V243" s="5"/>
      <c r="W243" s="5"/>
      <c r="X243" s="4"/>
    </row>
    <row r="244" spans="1:24" ht="25.5" customHeight="1">
      <c r="A244" s="44" t="s">
        <v>119</v>
      </c>
      <c r="B244" s="6" t="s">
        <v>118</v>
      </c>
      <c r="C244" s="6"/>
      <c r="D244" s="6"/>
      <c r="E244" s="6"/>
      <c r="F244" s="6"/>
      <c r="G244" s="6"/>
      <c r="H244" s="6"/>
      <c r="I244" s="6"/>
      <c r="J244" s="21" t="s">
        <v>50</v>
      </c>
      <c r="K244" s="21"/>
      <c r="L244" s="21"/>
      <c r="M244" s="21"/>
      <c r="N244" s="21"/>
      <c r="O244" s="21"/>
      <c r="P244" s="21"/>
      <c r="Q244" s="21"/>
      <c r="R244" s="21"/>
      <c r="S244" s="33"/>
      <c r="T244" s="21"/>
      <c r="U244" s="21"/>
      <c r="W244" s="21"/>
      <c r="X244" s="21" t="s">
        <v>123</v>
      </c>
    </row>
    <row r="245" spans="1:24" ht="25.5" customHeight="1">
      <c r="A245" s="44"/>
      <c r="B245" s="6" t="s">
        <v>175</v>
      </c>
      <c r="C245" s="6"/>
      <c r="D245" s="6"/>
      <c r="E245" s="6"/>
      <c r="F245" s="6"/>
      <c r="G245" s="6"/>
      <c r="H245" s="6"/>
      <c r="I245" s="6"/>
      <c r="J245" s="21"/>
      <c r="K245" s="21" t="s">
        <v>153</v>
      </c>
      <c r="L245" s="21"/>
      <c r="M245" s="21"/>
      <c r="N245" s="21"/>
      <c r="O245" s="21"/>
      <c r="P245" s="21"/>
      <c r="Q245" s="21"/>
      <c r="R245" s="21"/>
      <c r="S245" s="33"/>
      <c r="T245" s="21"/>
      <c r="U245" s="21"/>
      <c r="V245" s="21"/>
      <c r="W245" s="21"/>
      <c r="X245" s="21"/>
    </row>
    <row r="246" spans="1:24" ht="25.5" customHeight="1">
      <c r="A246" s="37" t="s">
        <v>206</v>
      </c>
      <c r="B246" s="6" t="s">
        <v>172</v>
      </c>
      <c r="C246" s="6"/>
      <c r="D246" s="6"/>
      <c r="E246" s="6"/>
      <c r="F246" s="6"/>
      <c r="G246" s="6"/>
      <c r="H246" s="6"/>
      <c r="I246" s="6"/>
      <c r="J246" s="6" t="s">
        <v>53</v>
      </c>
      <c r="K246" s="6"/>
      <c r="L246" s="6"/>
      <c r="M246" s="6"/>
      <c r="N246" s="6"/>
      <c r="O246" s="6"/>
      <c r="P246" s="6"/>
      <c r="Q246" s="6"/>
      <c r="S246" s="26"/>
      <c r="T246" s="6"/>
      <c r="U246" s="6"/>
      <c r="V246" s="6"/>
      <c r="W246" s="6"/>
      <c r="X246" s="6" t="s">
        <v>246</v>
      </c>
    </row>
    <row r="247" spans="1:24" ht="25.5" customHeight="1">
      <c r="A247" s="27"/>
      <c r="B247" s="6" t="s">
        <v>167</v>
      </c>
      <c r="C247" s="6"/>
      <c r="D247" s="6"/>
      <c r="E247" s="6"/>
      <c r="F247" s="6"/>
      <c r="G247" s="6"/>
      <c r="H247" s="6"/>
      <c r="I247" s="6"/>
      <c r="J247" s="6" t="s">
        <v>207</v>
      </c>
      <c r="K247" s="6"/>
      <c r="L247" s="6"/>
      <c r="M247" s="6"/>
      <c r="N247" s="6"/>
      <c r="O247" s="6"/>
      <c r="P247" s="6"/>
      <c r="Q247" s="6" t="s">
        <v>177</v>
      </c>
      <c r="S247" s="34"/>
      <c r="T247" s="6"/>
      <c r="U247" s="6"/>
      <c r="V247" s="6"/>
      <c r="W247" s="6"/>
      <c r="X247" s="6" t="s">
        <v>174</v>
      </c>
    </row>
    <row r="248" ht="25.5" customHeight="1"/>
    <row r="249" ht="25.5" customHeight="1"/>
    <row r="250" ht="25.5" customHeight="1">
      <c r="A250" s="25" t="s">
        <v>116</v>
      </c>
    </row>
    <row r="251" spans="25:28" ht="25.5" customHeight="1">
      <c r="Y251" s="1">
        <v>1</v>
      </c>
      <c r="Z251" s="1">
        <v>2</v>
      </c>
      <c r="AA251" s="1">
        <v>1</v>
      </c>
      <c r="AB251" s="1">
        <v>2</v>
      </c>
    </row>
    <row r="252" spans="25:27" ht="25.5" customHeight="1">
      <c r="Y252" t="s">
        <v>197</v>
      </c>
      <c r="AA252" s="2" t="s">
        <v>57</v>
      </c>
    </row>
    <row r="253" spans="25:28" ht="25.5" customHeight="1">
      <c r="Y253" s="22" t="s">
        <v>179</v>
      </c>
      <c r="Z253" s="1">
        <v>0</v>
      </c>
      <c r="AA253" s="22" t="s">
        <v>179</v>
      </c>
      <c r="AB253" s="1">
        <v>1</v>
      </c>
    </row>
    <row r="254" spans="25:28" ht="25.5" customHeight="1">
      <c r="Y254" s="22" t="s">
        <v>198</v>
      </c>
      <c r="Z254" s="1">
        <v>1</v>
      </c>
      <c r="AA254" s="1" t="s">
        <v>198</v>
      </c>
      <c r="AB254" s="1">
        <v>2</v>
      </c>
    </row>
    <row r="255" spans="25:28" ht="25.5" customHeight="1">
      <c r="Y255" s="22" t="s">
        <v>250</v>
      </c>
      <c r="Z255" s="1">
        <v>2</v>
      </c>
      <c r="AA255" s="1" t="s">
        <v>250</v>
      </c>
      <c r="AB255" s="1">
        <v>3</v>
      </c>
    </row>
    <row r="256" spans="25:28" ht="25.5" customHeight="1">
      <c r="Y256" s="1" t="s">
        <v>199</v>
      </c>
      <c r="Z256" s="1">
        <v>3</v>
      </c>
      <c r="AA256" s="1" t="s">
        <v>166</v>
      </c>
      <c r="AB256" s="1">
        <v>4</v>
      </c>
    </row>
    <row r="257" spans="25:28" ht="25.5" customHeight="1">
      <c r="Y257" s="1" t="s">
        <v>166</v>
      </c>
      <c r="Z257" s="1">
        <v>3</v>
      </c>
      <c r="AA257" s="1"/>
      <c r="AB257" s="1"/>
    </row>
    <row r="258" spans="27:28" ht="25.5" customHeight="1">
      <c r="AA258" s="1"/>
      <c r="AB258" s="1"/>
    </row>
    <row r="259" spans="25:28" ht="25.5" customHeight="1">
      <c r="Y259" s="1">
        <v>1</v>
      </c>
      <c r="Z259" s="1">
        <v>2</v>
      </c>
      <c r="AA259" s="1">
        <v>1</v>
      </c>
      <c r="AB259" s="1">
        <v>2</v>
      </c>
    </row>
    <row r="260" spans="25:27" ht="25.5" customHeight="1">
      <c r="Y260" s="2" t="s">
        <v>114</v>
      </c>
      <c r="AA260" s="2" t="s">
        <v>115</v>
      </c>
    </row>
    <row r="261" spans="25:28" ht="25.5" customHeight="1">
      <c r="Y261" s="1">
        <v>0</v>
      </c>
      <c r="Z261" s="22" t="s">
        <v>179</v>
      </c>
      <c r="AA261" s="1">
        <v>1</v>
      </c>
      <c r="AB261" s="1" t="s">
        <v>56</v>
      </c>
    </row>
    <row r="262" spans="25:28" ht="25.5" customHeight="1">
      <c r="Y262" s="1">
        <v>1</v>
      </c>
      <c r="Z262" s="1" t="s">
        <v>56</v>
      </c>
      <c r="AA262" s="1">
        <v>2</v>
      </c>
      <c r="AB262" s="1" t="s">
        <v>126</v>
      </c>
    </row>
    <row r="263" spans="25:28" ht="25.5" customHeight="1">
      <c r="Y263" s="1">
        <v>2</v>
      </c>
      <c r="Z263" s="1" t="s">
        <v>126</v>
      </c>
      <c r="AA263" s="1">
        <v>3</v>
      </c>
      <c r="AB263" s="1" t="s">
        <v>122</v>
      </c>
    </row>
    <row r="264" spans="25:28" ht="25.5" customHeight="1">
      <c r="Y264" s="1">
        <v>3</v>
      </c>
      <c r="Z264" s="1" t="s">
        <v>122</v>
      </c>
      <c r="AA264" s="1">
        <v>4</v>
      </c>
      <c r="AB264" s="1" t="s">
        <v>209</v>
      </c>
    </row>
    <row r="265" spans="25:28" ht="25.5" customHeight="1">
      <c r="Y265" s="1">
        <v>4</v>
      </c>
      <c r="Z265" s="1" t="s">
        <v>209</v>
      </c>
      <c r="AA265" s="1">
        <v>5</v>
      </c>
      <c r="AB265" s="1" t="s">
        <v>55</v>
      </c>
    </row>
    <row r="266" spans="25:28" ht="25.5" customHeight="1">
      <c r="Y266" s="2">
        <v>5</v>
      </c>
      <c r="Z266" s="2" t="s">
        <v>55</v>
      </c>
      <c r="AA266" s="1">
        <v>6</v>
      </c>
      <c r="AB266" s="1" t="s">
        <v>210</v>
      </c>
    </row>
    <row r="267" spans="25:26" ht="12">
      <c r="Y267" s="2">
        <v>6</v>
      </c>
      <c r="Z267" s="2" t="s">
        <v>210</v>
      </c>
    </row>
    <row r="268" spans="1:23" ht="12">
      <c r="A268" s="2" t="s">
        <v>176</v>
      </c>
      <c r="B268" s="2"/>
      <c r="J268" s="2" t="s">
        <v>311</v>
      </c>
      <c r="Q268" s="2" t="s">
        <v>120</v>
      </c>
      <c r="W268" s="2" t="s">
        <v>252</v>
      </c>
    </row>
    <row r="269" spans="1:23" ht="12">
      <c r="A269" s="1" t="s">
        <v>179</v>
      </c>
      <c r="B269" s="2"/>
      <c r="J269" s="1" t="s">
        <v>179</v>
      </c>
      <c r="Q269" s="1" t="s">
        <v>179</v>
      </c>
      <c r="W269" s="1" t="s">
        <v>179</v>
      </c>
    </row>
    <row r="270" spans="1:23" ht="12">
      <c r="A270" s="1">
        <v>1</v>
      </c>
      <c r="B270" s="2"/>
      <c r="J270" s="1">
        <v>1</v>
      </c>
      <c r="Q270" s="1">
        <v>1</v>
      </c>
      <c r="W270" s="1" t="s">
        <v>251</v>
      </c>
    </row>
    <row r="271" spans="1:17" ht="12">
      <c r="A271" s="1">
        <v>2</v>
      </c>
      <c r="B271" s="2"/>
      <c r="J271" s="1">
        <v>2</v>
      </c>
      <c r="Q271" s="1">
        <v>2</v>
      </c>
    </row>
    <row r="272" spans="1:17" ht="12">
      <c r="A272" s="1">
        <v>3</v>
      </c>
      <c r="B272" s="2"/>
      <c r="Q272" s="1">
        <v>3</v>
      </c>
    </row>
    <row r="273" spans="2:17" ht="12">
      <c r="B273" s="2"/>
      <c r="Q273" s="1">
        <v>4</v>
      </c>
    </row>
    <row r="274" spans="2:10" ht="12">
      <c r="B274" s="2"/>
      <c r="J274" s="2" t="s">
        <v>244</v>
      </c>
    </row>
    <row r="275" spans="1:17" ht="12">
      <c r="A275" s="2" t="s">
        <v>46</v>
      </c>
      <c r="B275" s="2"/>
      <c r="J275" s="1" t="s">
        <v>179</v>
      </c>
      <c r="Q275" s="2" t="s">
        <v>121</v>
      </c>
    </row>
    <row r="276" spans="1:17" ht="12">
      <c r="A276" s="1" t="s">
        <v>179</v>
      </c>
      <c r="B276" s="2"/>
      <c r="J276" s="1">
        <v>1</v>
      </c>
      <c r="Q276" s="1" t="s">
        <v>179</v>
      </c>
    </row>
    <row r="277" spans="1:17" ht="12">
      <c r="A277" s="1">
        <v>3</v>
      </c>
      <c r="B277" s="2"/>
      <c r="F277" s="2" t="s">
        <v>125</v>
      </c>
      <c r="J277" s="1"/>
      <c r="Q277" s="1">
        <v>3</v>
      </c>
    </row>
    <row r="278" spans="1:17" ht="12">
      <c r="A278" s="1">
        <v>6</v>
      </c>
      <c r="B278" s="2"/>
      <c r="F278" s="2">
        <v>3</v>
      </c>
      <c r="G278" s="2">
        <v>1</v>
      </c>
      <c r="Q278" s="1">
        <v>6</v>
      </c>
    </row>
    <row r="279" spans="1:17" ht="12">
      <c r="A279" s="1">
        <v>9</v>
      </c>
      <c r="B279" s="2"/>
      <c r="F279" s="2">
        <v>4</v>
      </c>
      <c r="G279" s="2">
        <v>2</v>
      </c>
      <c r="Q279" s="1">
        <v>9</v>
      </c>
    </row>
    <row r="280" spans="2:17" ht="12">
      <c r="B280" s="2"/>
      <c r="Q280" s="1">
        <v>12</v>
      </c>
    </row>
    <row r="281" spans="2:10" ht="12">
      <c r="B281" s="2"/>
      <c r="J281" s="2" t="s">
        <v>245</v>
      </c>
    </row>
    <row r="282" spans="1:27" ht="12">
      <c r="A282" s="2" t="s">
        <v>208</v>
      </c>
      <c r="B282" s="2"/>
      <c r="C282" s="2" t="s">
        <v>197</v>
      </c>
      <c r="Y282" s="2">
        <v>1</v>
      </c>
      <c r="Z282" s="2">
        <v>2</v>
      </c>
      <c r="AA282" s="2">
        <v>3</v>
      </c>
    </row>
    <row r="283" spans="1:27" ht="12">
      <c r="A283" s="1" t="s">
        <v>179</v>
      </c>
      <c r="B283" s="2"/>
      <c r="C283" s="1" t="s">
        <v>179</v>
      </c>
      <c r="J283" s="1" t="s">
        <v>56</v>
      </c>
      <c r="Y283" s="2" t="s">
        <v>133</v>
      </c>
      <c r="Z283" s="2" t="s">
        <v>61</v>
      </c>
      <c r="AA283" s="2" t="s">
        <v>62</v>
      </c>
    </row>
    <row r="284" spans="1:25" ht="12">
      <c r="A284" s="1">
        <v>9</v>
      </c>
      <c r="B284" s="2"/>
      <c r="C284" s="1" t="s">
        <v>198</v>
      </c>
      <c r="J284" s="1" t="s">
        <v>126</v>
      </c>
      <c r="Q284" s="2" t="s">
        <v>129</v>
      </c>
      <c r="V284" s="2" t="s">
        <v>169</v>
      </c>
      <c r="Y284" s="2" t="s">
        <v>179</v>
      </c>
    </row>
    <row r="285" spans="1:27" ht="12">
      <c r="A285" s="1">
        <v>10</v>
      </c>
      <c r="B285" s="2"/>
      <c r="C285" s="1" t="s">
        <v>250</v>
      </c>
      <c r="J285" s="1" t="s">
        <v>122</v>
      </c>
      <c r="Q285" s="1" t="s">
        <v>179</v>
      </c>
      <c r="V285" s="1" t="s">
        <v>179</v>
      </c>
      <c r="Y285" s="2" t="s">
        <v>75</v>
      </c>
      <c r="Z285" s="2">
        <v>50</v>
      </c>
      <c r="AA285" s="2">
        <v>30</v>
      </c>
    </row>
    <row r="286" spans="1:27" ht="12">
      <c r="A286" s="1">
        <v>11</v>
      </c>
      <c r="B286" s="2"/>
      <c r="C286" s="1" t="s">
        <v>166</v>
      </c>
      <c r="J286" s="1" t="s">
        <v>209</v>
      </c>
      <c r="Q286" s="2">
        <v>10</v>
      </c>
      <c r="V286" s="1">
        <v>4</v>
      </c>
      <c r="Y286" s="2" t="s">
        <v>134</v>
      </c>
      <c r="Z286" s="2">
        <v>10</v>
      </c>
      <c r="AA286" s="2">
        <v>5</v>
      </c>
    </row>
    <row r="287" spans="1:27" ht="12">
      <c r="A287" s="1">
        <v>12</v>
      </c>
      <c r="B287" s="2"/>
      <c r="J287" s="1" t="s">
        <v>55</v>
      </c>
      <c r="Q287" s="2">
        <v>15</v>
      </c>
      <c r="V287" s="1">
        <v>5</v>
      </c>
      <c r="Y287" s="2" t="s">
        <v>58</v>
      </c>
      <c r="Z287" s="2">
        <v>35</v>
      </c>
      <c r="AA287" s="2">
        <v>25</v>
      </c>
    </row>
    <row r="288" spans="1:27" ht="12">
      <c r="A288" s="1">
        <v>13</v>
      </c>
      <c r="B288" s="2"/>
      <c r="J288" s="1" t="s">
        <v>210</v>
      </c>
      <c r="Q288" s="2">
        <v>20</v>
      </c>
      <c r="V288" s="1">
        <v>6</v>
      </c>
      <c r="Y288" s="2" t="s">
        <v>71</v>
      </c>
      <c r="Z288" s="2">
        <v>25</v>
      </c>
      <c r="AA288" s="2">
        <v>15</v>
      </c>
    </row>
    <row r="289" spans="1:27" ht="12">
      <c r="A289" s="1">
        <v>14</v>
      </c>
      <c r="B289" s="2"/>
      <c r="C289" s="1" t="s">
        <v>112</v>
      </c>
      <c r="J289" s="1" t="s">
        <v>179</v>
      </c>
      <c r="Q289" s="2">
        <v>25</v>
      </c>
      <c r="V289" s="1">
        <v>7</v>
      </c>
      <c r="Y289" s="2" t="s">
        <v>59</v>
      </c>
      <c r="Z289" s="2">
        <v>50</v>
      </c>
      <c r="AA289" s="2">
        <v>35</v>
      </c>
    </row>
    <row r="290" spans="1:27" ht="12">
      <c r="A290" s="1">
        <v>15</v>
      </c>
      <c r="B290" s="2"/>
      <c r="C290" s="1" t="s">
        <v>179</v>
      </c>
      <c r="Q290" s="2">
        <v>30</v>
      </c>
      <c r="V290" s="1">
        <v>8</v>
      </c>
      <c r="Y290" s="2" t="s">
        <v>128</v>
      </c>
      <c r="Z290" s="2">
        <v>45</v>
      </c>
      <c r="AA290" s="2">
        <v>35</v>
      </c>
    </row>
    <row r="291" spans="1:27" ht="12">
      <c r="A291" s="1">
        <v>16</v>
      </c>
      <c r="B291" s="2"/>
      <c r="C291" s="1">
        <v>1</v>
      </c>
      <c r="G291" s="2" t="s">
        <v>308</v>
      </c>
      <c r="K291" s="2" t="s">
        <v>178</v>
      </c>
      <c r="Q291" s="2">
        <v>50</v>
      </c>
      <c r="R291" s="7"/>
      <c r="V291" s="1">
        <v>9</v>
      </c>
      <c r="Y291" s="2" t="s">
        <v>60</v>
      </c>
      <c r="Z291" s="2">
        <v>20</v>
      </c>
      <c r="AA291" s="2">
        <v>20</v>
      </c>
    </row>
    <row r="292" spans="1:22" ht="12">
      <c r="A292" s="1">
        <v>17</v>
      </c>
      <c r="B292" s="2"/>
      <c r="C292" s="1">
        <v>2</v>
      </c>
      <c r="G292" s="1" t="s">
        <v>179</v>
      </c>
      <c r="K292" s="2" t="s">
        <v>179</v>
      </c>
      <c r="Q292" s="2">
        <v>55</v>
      </c>
      <c r="R292" s="7"/>
      <c r="V292" s="1">
        <v>10</v>
      </c>
    </row>
    <row r="293" spans="1:22" ht="12">
      <c r="A293" s="1">
        <v>18</v>
      </c>
      <c r="B293" s="2"/>
      <c r="C293" s="1">
        <v>3</v>
      </c>
      <c r="G293" s="1">
        <v>9</v>
      </c>
      <c r="K293" s="1">
        <v>1</v>
      </c>
      <c r="Q293" s="2">
        <v>75</v>
      </c>
      <c r="V293" s="1">
        <v>11</v>
      </c>
    </row>
    <row r="294" spans="1:26" ht="12">
      <c r="A294" s="1">
        <v>19</v>
      </c>
      <c r="B294" s="2"/>
      <c r="C294" s="1">
        <v>4</v>
      </c>
      <c r="G294" s="1">
        <v>10</v>
      </c>
      <c r="K294" s="1">
        <v>2</v>
      </c>
      <c r="Q294" s="35">
        <v>100</v>
      </c>
      <c r="V294" s="1">
        <v>12</v>
      </c>
      <c r="Y294" s="2">
        <v>1</v>
      </c>
      <c r="Z294" s="2">
        <v>2</v>
      </c>
    </row>
    <row r="295" spans="1:25" ht="12">
      <c r="A295" s="1">
        <v>20</v>
      </c>
      <c r="B295" s="2"/>
      <c r="C295" s="1">
        <v>5</v>
      </c>
      <c r="G295" s="1">
        <v>11</v>
      </c>
      <c r="K295" s="1">
        <v>3</v>
      </c>
      <c r="Q295" s="2" t="s">
        <v>200</v>
      </c>
      <c r="V295" s="1">
        <v>13</v>
      </c>
      <c r="Y295" s="2" t="s">
        <v>240</v>
      </c>
    </row>
    <row r="296" spans="1:25" ht="12">
      <c r="A296" s="1">
        <v>21</v>
      </c>
      <c r="B296" s="2"/>
      <c r="C296" s="1">
        <v>6</v>
      </c>
      <c r="G296" s="1">
        <v>12</v>
      </c>
      <c r="K296" s="1">
        <v>4</v>
      </c>
      <c r="V296" s="1">
        <v>14</v>
      </c>
      <c r="Y296" s="2" t="s">
        <v>179</v>
      </c>
    </row>
    <row r="297" spans="1:26" ht="12">
      <c r="A297" s="1">
        <v>22</v>
      </c>
      <c r="B297" s="2"/>
      <c r="C297" s="1">
        <v>7</v>
      </c>
      <c r="G297" s="1">
        <v>13</v>
      </c>
      <c r="K297" s="1">
        <v>5</v>
      </c>
      <c r="Q297" s="1" t="s">
        <v>179</v>
      </c>
      <c r="V297" s="1">
        <v>15</v>
      </c>
      <c r="Y297" s="2" t="s">
        <v>241</v>
      </c>
      <c r="Z297" s="2">
        <v>50</v>
      </c>
    </row>
    <row r="298" spans="1:26" ht="12">
      <c r="A298" s="1">
        <v>23</v>
      </c>
      <c r="B298" s="2"/>
      <c r="C298" s="1">
        <v>8</v>
      </c>
      <c r="G298" s="1">
        <v>14</v>
      </c>
      <c r="K298" s="1">
        <v>6</v>
      </c>
      <c r="Q298" s="2">
        <v>5</v>
      </c>
      <c r="V298" s="1">
        <v>16</v>
      </c>
      <c r="Y298" s="2" t="s">
        <v>109</v>
      </c>
      <c r="Z298" s="2">
        <v>25</v>
      </c>
    </row>
    <row r="299" spans="1:26" ht="12">
      <c r="A299" s="1">
        <v>24</v>
      </c>
      <c r="B299" s="2"/>
      <c r="C299" s="1">
        <v>9</v>
      </c>
      <c r="G299" s="1">
        <v>15</v>
      </c>
      <c r="K299" s="1">
        <v>7</v>
      </c>
      <c r="Q299" s="2">
        <v>10</v>
      </c>
      <c r="V299" s="1">
        <v>17</v>
      </c>
      <c r="Y299" s="2" t="s">
        <v>258</v>
      </c>
      <c r="Z299" s="2">
        <v>25</v>
      </c>
    </row>
    <row r="300" spans="1:26" ht="12">
      <c r="A300" s="1">
        <v>25</v>
      </c>
      <c r="B300" s="2"/>
      <c r="C300" s="1">
        <v>10</v>
      </c>
      <c r="G300" s="1">
        <v>16</v>
      </c>
      <c r="K300" s="1">
        <v>8</v>
      </c>
      <c r="Q300" s="2">
        <v>15</v>
      </c>
      <c r="V300" s="1">
        <v>18</v>
      </c>
      <c r="Y300" s="2" t="s">
        <v>259</v>
      </c>
      <c r="Z300" s="2">
        <v>25</v>
      </c>
    </row>
    <row r="301" spans="1:26" ht="12">
      <c r="A301" s="1">
        <v>26</v>
      </c>
      <c r="B301" s="2"/>
      <c r="G301" s="1">
        <v>17</v>
      </c>
      <c r="K301" s="1">
        <v>9</v>
      </c>
      <c r="Q301" s="2">
        <v>20</v>
      </c>
      <c r="V301" s="1">
        <v>19</v>
      </c>
      <c r="Y301" s="2" t="s">
        <v>261</v>
      </c>
      <c r="Z301" s="2">
        <v>25</v>
      </c>
    </row>
    <row r="302" spans="1:26" ht="12">
      <c r="A302" s="1">
        <v>27</v>
      </c>
      <c r="B302" s="2"/>
      <c r="E302" s="2" t="s">
        <v>113</v>
      </c>
      <c r="G302" s="1">
        <v>18</v>
      </c>
      <c r="K302" s="1">
        <v>10</v>
      </c>
      <c r="Q302" s="2">
        <v>25</v>
      </c>
      <c r="V302" s="1">
        <v>20</v>
      </c>
      <c r="Y302" s="2" t="s">
        <v>260</v>
      </c>
      <c r="Z302" s="2">
        <v>25</v>
      </c>
    </row>
    <row r="303" spans="1:26" ht="12">
      <c r="A303" s="1">
        <v>28</v>
      </c>
      <c r="B303" s="2"/>
      <c r="E303" s="1" t="s">
        <v>179</v>
      </c>
      <c r="G303" s="1">
        <v>19</v>
      </c>
      <c r="K303" s="1">
        <v>11</v>
      </c>
      <c r="Q303" s="2">
        <v>30</v>
      </c>
      <c r="V303" s="1"/>
      <c r="Y303" s="2" t="s">
        <v>110</v>
      </c>
      <c r="Z303" s="2">
        <v>25</v>
      </c>
    </row>
    <row r="304" spans="1:26" ht="12">
      <c r="A304" s="1">
        <v>29</v>
      </c>
      <c r="B304" s="2"/>
      <c r="E304" s="2">
        <v>10</v>
      </c>
      <c r="G304" s="1">
        <v>20</v>
      </c>
      <c r="K304" s="1">
        <v>12</v>
      </c>
      <c r="Q304" s="2">
        <v>35</v>
      </c>
      <c r="S304" s="7" t="s">
        <v>165</v>
      </c>
      <c r="V304" s="1"/>
      <c r="Y304" s="2" t="s">
        <v>108</v>
      </c>
      <c r="Z304" s="2">
        <v>25</v>
      </c>
    </row>
    <row r="305" spans="1:26" ht="12">
      <c r="A305" s="1">
        <v>30</v>
      </c>
      <c r="E305" s="2">
        <v>25</v>
      </c>
      <c r="G305" s="1">
        <v>21</v>
      </c>
      <c r="K305" s="1">
        <v>13</v>
      </c>
      <c r="Q305" s="2">
        <v>40</v>
      </c>
      <c r="S305" s="1" t="s">
        <v>179</v>
      </c>
      <c r="V305" s="1"/>
      <c r="Y305" s="2" t="s">
        <v>107</v>
      </c>
      <c r="Z305" s="2">
        <v>25</v>
      </c>
    </row>
    <row r="306" spans="1:22" ht="12">
      <c r="A306" s="1">
        <v>31</v>
      </c>
      <c r="E306" s="2">
        <v>40</v>
      </c>
      <c r="G306" s="1">
        <v>22</v>
      </c>
      <c r="K306" s="1">
        <v>14</v>
      </c>
      <c r="Q306" s="2">
        <v>45</v>
      </c>
      <c r="S306" s="2">
        <v>5</v>
      </c>
      <c r="V306" s="1"/>
    </row>
    <row r="307" spans="1:22" ht="12">
      <c r="A307" s="1">
        <v>32</v>
      </c>
      <c r="E307" s="2">
        <v>50</v>
      </c>
      <c r="G307" s="1">
        <v>23</v>
      </c>
      <c r="K307" s="1">
        <v>15</v>
      </c>
      <c r="Q307" s="2">
        <v>50</v>
      </c>
      <c r="S307" s="2">
        <v>10</v>
      </c>
      <c r="V307" s="1"/>
    </row>
    <row r="308" spans="1:42" ht="12">
      <c r="A308" s="1">
        <v>33</v>
      </c>
      <c r="E308" s="2">
        <v>60</v>
      </c>
      <c r="G308" s="1">
        <v>24</v>
      </c>
      <c r="K308" s="1">
        <v>16</v>
      </c>
      <c r="Q308" s="2">
        <v>55</v>
      </c>
      <c r="S308" s="2">
        <v>15</v>
      </c>
      <c r="Y308" s="41">
        <v>1</v>
      </c>
      <c r="Z308" s="41">
        <v>2</v>
      </c>
      <c r="AA308" s="41">
        <v>3</v>
      </c>
      <c r="AB308" s="41">
        <v>4</v>
      </c>
      <c r="AC308" s="41">
        <v>5</v>
      </c>
      <c r="AD308" s="41">
        <v>6</v>
      </c>
      <c r="AE308" s="41">
        <v>7</v>
      </c>
      <c r="AF308" s="41">
        <v>8</v>
      </c>
      <c r="AG308" s="41">
        <v>9</v>
      </c>
      <c r="AH308" s="41">
        <v>10</v>
      </c>
      <c r="AI308" s="41">
        <v>11</v>
      </c>
      <c r="AJ308" s="41">
        <v>12</v>
      </c>
      <c r="AK308" s="41">
        <v>13</v>
      </c>
      <c r="AL308" s="41">
        <v>14</v>
      </c>
      <c r="AM308" s="41">
        <v>15</v>
      </c>
      <c r="AN308" s="41">
        <v>16</v>
      </c>
      <c r="AO308" s="41">
        <v>17</v>
      </c>
      <c r="AP308" s="41">
        <v>18</v>
      </c>
    </row>
    <row r="309" spans="1:42" ht="12">
      <c r="A309" s="1">
        <v>34</v>
      </c>
      <c r="B309" s="32" t="s">
        <v>128</v>
      </c>
      <c r="C309" s="32"/>
      <c r="E309" s="2">
        <v>100</v>
      </c>
      <c r="G309" s="1">
        <v>25</v>
      </c>
      <c r="K309" s="1">
        <v>17</v>
      </c>
      <c r="Q309" s="2">
        <v>60</v>
      </c>
      <c r="R309" s="7"/>
      <c r="S309" s="2">
        <v>20</v>
      </c>
      <c r="Y309" s="39" t="s">
        <v>180</v>
      </c>
      <c r="Z309" s="40" t="s">
        <v>309</v>
      </c>
      <c r="AA309" s="40" t="s">
        <v>190</v>
      </c>
      <c r="AB309" s="40" t="s">
        <v>191</v>
      </c>
      <c r="AC309" s="40" t="s">
        <v>250</v>
      </c>
      <c r="AD309" s="40" t="s">
        <v>310</v>
      </c>
      <c r="AE309" s="40" t="s">
        <v>192</v>
      </c>
      <c r="AF309" s="40" t="s">
        <v>193</v>
      </c>
      <c r="AG309" s="40" t="s">
        <v>194</v>
      </c>
      <c r="AH309" s="40" t="s">
        <v>195</v>
      </c>
      <c r="AI309" s="39" t="s">
        <v>114</v>
      </c>
      <c r="AJ309" s="39" t="s">
        <v>188</v>
      </c>
      <c r="AK309" s="39" t="s">
        <v>37</v>
      </c>
      <c r="AL309" s="39" t="s">
        <v>38</v>
      </c>
      <c r="AM309" s="39" t="s">
        <v>39</v>
      </c>
      <c r="AN309" s="39" t="s">
        <v>39</v>
      </c>
      <c r="AO309" s="41" t="s">
        <v>40</v>
      </c>
      <c r="AP309" s="41" t="s">
        <v>41</v>
      </c>
    </row>
    <row r="310" spans="1:42" ht="12">
      <c r="A310" s="1">
        <v>35</v>
      </c>
      <c r="C310" s="1" t="s">
        <v>179</v>
      </c>
      <c r="G310" s="1">
        <v>26</v>
      </c>
      <c r="K310" s="1">
        <v>18</v>
      </c>
      <c r="Q310" s="2">
        <v>65</v>
      </c>
      <c r="S310" s="2">
        <v>25</v>
      </c>
      <c r="Y310" s="42" t="s">
        <v>139</v>
      </c>
      <c r="Z310" s="41" t="s">
        <v>179</v>
      </c>
      <c r="AA310" s="41" t="s">
        <v>179</v>
      </c>
      <c r="AB310" s="41" t="s">
        <v>179</v>
      </c>
      <c r="AC310" s="41" t="s">
        <v>179</v>
      </c>
      <c r="AD310" s="41" t="s">
        <v>179</v>
      </c>
      <c r="AE310" s="41" t="s">
        <v>179</v>
      </c>
      <c r="AF310" s="41" t="s">
        <v>179</v>
      </c>
      <c r="AG310" s="41" t="s">
        <v>179</v>
      </c>
      <c r="AH310" s="41" t="s">
        <v>179</v>
      </c>
      <c r="AI310" s="39" t="s">
        <v>179</v>
      </c>
      <c r="AJ310" s="39" t="s">
        <v>179</v>
      </c>
      <c r="AK310" s="39" t="s">
        <v>179</v>
      </c>
      <c r="AL310" s="39" t="s">
        <v>179</v>
      </c>
      <c r="AM310" s="39" t="s">
        <v>179</v>
      </c>
      <c r="AN310" s="39" t="s">
        <v>179</v>
      </c>
      <c r="AO310" s="41">
        <v>0</v>
      </c>
      <c r="AP310" s="41">
        <v>0</v>
      </c>
    </row>
    <row r="311" spans="1:42" ht="12">
      <c r="A311" s="1">
        <v>36</v>
      </c>
      <c r="C311" s="2">
        <v>5</v>
      </c>
      <c r="G311" s="1">
        <v>27</v>
      </c>
      <c r="K311" s="1">
        <v>19</v>
      </c>
      <c r="Q311" s="2">
        <v>70</v>
      </c>
      <c r="S311" s="2">
        <v>40</v>
      </c>
      <c r="Y311" s="39" t="s">
        <v>67</v>
      </c>
      <c r="Z311" s="41">
        <v>9</v>
      </c>
      <c r="AA311" s="41">
        <v>3</v>
      </c>
      <c r="AB311" s="41">
        <v>0</v>
      </c>
      <c r="AC311" s="41">
        <v>3</v>
      </c>
      <c r="AD311" s="41">
        <v>3</v>
      </c>
      <c r="AE311" s="41">
        <v>1</v>
      </c>
      <c r="AF311" s="41">
        <v>4</v>
      </c>
      <c r="AG311" s="41">
        <v>1</v>
      </c>
      <c r="AH311" s="41">
        <v>5</v>
      </c>
      <c r="AI311" s="39" t="s">
        <v>179</v>
      </c>
      <c r="AJ311" s="39" t="s">
        <v>179</v>
      </c>
      <c r="AK311" s="39" t="s">
        <v>161</v>
      </c>
      <c r="AL311" s="39" t="s">
        <v>179</v>
      </c>
      <c r="AM311" s="39" t="s">
        <v>179</v>
      </c>
      <c r="AN311" s="39" t="s">
        <v>179</v>
      </c>
      <c r="AO311" s="41">
        <v>20</v>
      </c>
      <c r="AP311" s="41">
        <v>10</v>
      </c>
    </row>
    <row r="312" spans="1:42" ht="12">
      <c r="A312" s="1">
        <v>37</v>
      </c>
      <c r="C312" s="2">
        <v>6</v>
      </c>
      <c r="E312" s="35"/>
      <c r="G312" s="1">
        <v>28</v>
      </c>
      <c r="K312" s="1">
        <v>20</v>
      </c>
      <c r="Q312" s="2">
        <v>75</v>
      </c>
      <c r="S312" s="2">
        <v>45</v>
      </c>
      <c r="Y312" s="39" t="s">
        <v>68</v>
      </c>
      <c r="Z312" s="41">
        <v>9</v>
      </c>
      <c r="AA312" s="41">
        <v>5</v>
      </c>
      <c r="AB312" s="41">
        <v>0</v>
      </c>
      <c r="AC312" s="41">
        <v>5</v>
      </c>
      <c r="AD312" s="41">
        <v>4</v>
      </c>
      <c r="AE312" s="41">
        <v>3</v>
      </c>
      <c r="AF312" s="41">
        <v>4</v>
      </c>
      <c r="AG312" s="41">
        <v>2</v>
      </c>
      <c r="AH312" s="41">
        <v>7</v>
      </c>
      <c r="AI312" s="39" t="s">
        <v>179</v>
      </c>
      <c r="AJ312" s="39" t="s">
        <v>56</v>
      </c>
      <c r="AK312" s="39" t="s">
        <v>17</v>
      </c>
      <c r="AL312" s="39" t="s">
        <v>19</v>
      </c>
      <c r="AM312" s="39" t="s">
        <v>179</v>
      </c>
      <c r="AN312" s="39" t="s">
        <v>179</v>
      </c>
      <c r="AO312" s="41">
        <v>65</v>
      </c>
      <c r="AP312" s="41">
        <v>65</v>
      </c>
    </row>
    <row r="313" spans="1:42" ht="12">
      <c r="A313" s="1">
        <v>38</v>
      </c>
      <c r="C313" s="2">
        <v>7</v>
      </c>
      <c r="G313" s="1">
        <v>29</v>
      </c>
      <c r="K313" s="1">
        <v>21</v>
      </c>
      <c r="Q313" s="2">
        <v>80</v>
      </c>
      <c r="S313" s="2">
        <v>50</v>
      </c>
      <c r="Y313" s="39" t="s">
        <v>63</v>
      </c>
      <c r="Z313" s="41">
        <v>2</v>
      </c>
      <c r="AA313" s="41">
        <v>5</v>
      </c>
      <c r="AB313" s="41">
        <v>0</v>
      </c>
      <c r="AC313" s="41">
        <v>4</v>
      </c>
      <c r="AD313" s="41">
        <v>4</v>
      </c>
      <c r="AE313" s="41">
        <v>3</v>
      </c>
      <c r="AF313" s="41">
        <v>4</v>
      </c>
      <c r="AG313" s="41">
        <v>2</v>
      </c>
      <c r="AH313" s="41">
        <v>8</v>
      </c>
      <c r="AI313" s="39" t="s">
        <v>179</v>
      </c>
      <c r="AJ313" s="39" t="s">
        <v>179</v>
      </c>
      <c r="AK313" s="39" t="s">
        <v>274</v>
      </c>
      <c r="AL313" s="39" t="s">
        <v>179</v>
      </c>
      <c r="AM313" s="39" t="s">
        <v>179</v>
      </c>
      <c r="AN313" s="39" t="s">
        <v>179</v>
      </c>
      <c r="AO313" s="41">
        <v>50</v>
      </c>
      <c r="AP313" s="41">
        <v>50</v>
      </c>
    </row>
    <row r="314" spans="1:42" ht="12">
      <c r="A314" s="1">
        <v>39</v>
      </c>
      <c r="C314" s="2">
        <v>8</v>
      </c>
      <c r="K314" s="1">
        <v>22</v>
      </c>
      <c r="Q314" s="2">
        <v>85</v>
      </c>
      <c r="S314" s="2">
        <v>55</v>
      </c>
      <c r="Y314" s="39" t="s">
        <v>111</v>
      </c>
      <c r="Z314" s="41">
        <v>10</v>
      </c>
      <c r="AA314" s="41">
        <v>5</v>
      </c>
      <c r="AB314" s="41">
        <v>0</v>
      </c>
      <c r="AC314" s="41">
        <v>4</v>
      </c>
      <c r="AD314" s="41">
        <v>4</v>
      </c>
      <c r="AE314" s="41">
        <v>3</v>
      </c>
      <c r="AF314" s="41">
        <v>5</v>
      </c>
      <c r="AG314" s="41">
        <v>2</v>
      </c>
      <c r="AH314" s="41">
        <v>8</v>
      </c>
      <c r="AI314" s="39" t="s">
        <v>179</v>
      </c>
      <c r="AJ314" s="39" t="s">
        <v>56</v>
      </c>
      <c r="AK314" s="39" t="s">
        <v>17</v>
      </c>
      <c r="AL314" s="39" t="s">
        <v>20</v>
      </c>
      <c r="AM314" s="39" t="s">
        <v>18</v>
      </c>
      <c r="AN314" s="39" t="s">
        <v>179</v>
      </c>
      <c r="AO314" s="41">
        <v>60</v>
      </c>
      <c r="AP314" s="41">
        <v>60</v>
      </c>
    </row>
    <row r="315" spans="1:42" ht="12">
      <c r="A315" s="1">
        <v>40</v>
      </c>
      <c r="C315" s="2">
        <v>9</v>
      </c>
      <c r="K315" s="1">
        <v>23</v>
      </c>
      <c r="Q315" s="2">
        <v>90</v>
      </c>
      <c r="S315" s="2">
        <v>50</v>
      </c>
      <c r="Y315" s="39" t="s">
        <v>257</v>
      </c>
      <c r="Z315" s="41">
        <v>6</v>
      </c>
      <c r="AA315" s="41">
        <v>6</v>
      </c>
      <c r="AB315" s="41">
        <v>0</v>
      </c>
      <c r="AC315" s="41">
        <v>6</v>
      </c>
      <c r="AD315" s="41">
        <v>6</v>
      </c>
      <c r="AE315" s="41">
        <v>6</v>
      </c>
      <c r="AF315" s="41">
        <v>3</v>
      </c>
      <c r="AG315" s="41">
        <v>5</v>
      </c>
      <c r="AH315" s="41">
        <v>8</v>
      </c>
      <c r="AI315" s="39" t="s">
        <v>209</v>
      </c>
      <c r="AJ315" s="39" t="s">
        <v>56</v>
      </c>
      <c r="AK315" s="39" t="s">
        <v>21</v>
      </c>
      <c r="AL315" s="39" t="s">
        <v>138</v>
      </c>
      <c r="AM315" s="39" t="s">
        <v>22</v>
      </c>
      <c r="AN315" s="41" t="s">
        <v>279</v>
      </c>
      <c r="AO315" s="41">
        <v>300</v>
      </c>
      <c r="AP315" s="41">
        <v>0</v>
      </c>
    </row>
    <row r="316" spans="1:37" ht="12">
      <c r="A316" s="1">
        <v>41</v>
      </c>
      <c r="C316" s="2">
        <v>10</v>
      </c>
      <c r="K316" s="1">
        <v>24</v>
      </c>
      <c r="Q316" s="2">
        <v>95</v>
      </c>
      <c r="S316" s="2">
        <v>55</v>
      </c>
      <c r="AI316" s="39"/>
      <c r="AJ316" s="39"/>
      <c r="AK316" s="39"/>
    </row>
    <row r="317" spans="1:37" ht="12">
      <c r="A317" s="1">
        <v>42</v>
      </c>
      <c r="C317" s="2">
        <v>11</v>
      </c>
      <c r="K317" s="1">
        <v>25</v>
      </c>
      <c r="Q317" s="2">
        <v>100</v>
      </c>
      <c r="S317" s="2">
        <v>70</v>
      </c>
      <c r="AH317"/>
      <c r="AI317"/>
      <c r="AJ317"/>
      <c r="AK317"/>
    </row>
    <row r="318" spans="1:37" ht="12">
      <c r="A318" s="1">
        <v>43</v>
      </c>
      <c r="C318" s="2">
        <v>12</v>
      </c>
      <c r="Q318" s="2">
        <v>105</v>
      </c>
      <c r="S318" s="2">
        <v>75</v>
      </c>
      <c r="X318" s="2">
        <v>1</v>
      </c>
      <c r="Y318" s="2">
        <v>2</v>
      </c>
      <c r="AH318"/>
      <c r="AI318"/>
      <c r="AJ318"/>
      <c r="AK318"/>
    </row>
    <row r="319" spans="1:37" ht="12">
      <c r="A319" s="1">
        <v>44</v>
      </c>
      <c r="C319" s="2">
        <v>13</v>
      </c>
      <c r="Q319" s="2">
        <v>110</v>
      </c>
      <c r="S319" s="2"/>
      <c r="X319" s="2" t="s">
        <v>78</v>
      </c>
      <c r="Y319" s="2" t="s">
        <v>217</v>
      </c>
      <c r="AH319"/>
      <c r="AI319"/>
      <c r="AJ319"/>
      <c r="AK319"/>
    </row>
    <row r="320" spans="1:37" ht="12">
      <c r="A320" s="1">
        <v>45</v>
      </c>
      <c r="C320" s="2">
        <v>14</v>
      </c>
      <c r="G320" s="2" t="s">
        <v>312</v>
      </c>
      <c r="Q320" s="2">
        <v>115</v>
      </c>
      <c r="S320" s="2"/>
      <c r="X320" s="2" t="s">
        <v>215</v>
      </c>
      <c r="Y320" s="2">
        <v>0</v>
      </c>
      <c r="AH320"/>
      <c r="AI320"/>
      <c r="AJ320"/>
      <c r="AK320"/>
    </row>
    <row r="321" spans="1:25" ht="12">
      <c r="A321" s="1">
        <v>46</v>
      </c>
      <c r="C321" s="2">
        <v>15</v>
      </c>
      <c r="G321" s="1" t="s">
        <v>179</v>
      </c>
      <c r="Q321" s="2">
        <v>120</v>
      </c>
      <c r="X321" s="2" t="s">
        <v>216</v>
      </c>
      <c r="Y321" s="2">
        <v>20</v>
      </c>
    </row>
    <row r="322" spans="1:17" ht="12">
      <c r="A322" s="1">
        <v>47</v>
      </c>
      <c r="C322" s="2">
        <v>16</v>
      </c>
      <c r="G322" s="2">
        <v>20</v>
      </c>
      <c r="Q322" s="2">
        <v>125</v>
      </c>
    </row>
    <row r="323" spans="1:17" ht="12">
      <c r="A323" s="1">
        <v>48</v>
      </c>
      <c r="C323" s="2">
        <v>17</v>
      </c>
      <c r="G323" s="2">
        <v>25</v>
      </c>
      <c r="Q323" s="2">
        <v>130</v>
      </c>
    </row>
    <row r="324" spans="1:26" ht="12">
      <c r="A324" s="1">
        <v>49</v>
      </c>
      <c r="C324" s="2">
        <v>18</v>
      </c>
      <c r="G324" s="2">
        <v>45</v>
      </c>
      <c r="Q324" s="2">
        <v>135</v>
      </c>
      <c r="X324" s="2">
        <v>1</v>
      </c>
      <c r="Y324" s="2">
        <v>2</v>
      </c>
      <c r="Z324" s="2">
        <v>3</v>
      </c>
    </row>
    <row r="325" spans="1:26" ht="12">
      <c r="A325" s="1">
        <v>50</v>
      </c>
      <c r="C325" s="2">
        <v>19</v>
      </c>
      <c r="G325" s="2">
        <v>60</v>
      </c>
      <c r="Q325" s="2">
        <v>140</v>
      </c>
      <c r="X325" s="2" t="s">
        <v>304</v>
      </c>
      <c r="Y325" s="2" t="s">
        <v>307</v>
      </c>
      <c r="Z325" s="2" t="s">
        <v>217</v>
      </c>
    </row>
    <row r="326" spans="3:26" ht="12">
      <c r="C326" s="2">
        <v>20</v>
      </c>
      <c r="Q326" s="2">
        <v>145</v>
      </c>
      <c r="X326" s="2" t="s">
        <v>305</v>
      </c>
      <c r="Y326" s="2" t="s">
        <v>179</v>
      </c>
      <c r="Z326" s="2">
        <v>0</v>
      </c>
    </row>
    <row r="327" spans="17:26" ht="12">
      <c r="Q327" s="2">
        <v>150</v>
      </c>
      <c r="X327" s="2" t="s">
        <v>286</v>
      </c>
      <c r="Y327" s="2" t="s">
        <v>282</v>
      </c>
      <c r="Z327" s="2">
        <v>3</v>
      </c>
    </row>
    <row r="328" spans="7:26" ht="12">
      <c r="G328" s="2" t="s">
        <v>243</v>
      </c>
      <c r="X328" s="2" t="s">
        <v>287</v>
      </c>
      <c r="Y328" s="2" t="s">
        <v>291</v>
      </c>
      <c r="Z328" s="2">
        <v>3</v>
      </c>
    </row>
    <row r="329" spans="1:26" ht="12">
      <c r="A329" s="2" t="s">
        <v>208</v>
      </c>
      <c r="G329" s="1" t="s">
        <v>179</v>
      </c>
      <c r="X329" s="2" t="s">
        <v>288</v>
      </c>
      <c r="Y329" s="2" t="s">
        <v>285</v>
      </c>
      <c r="Z329" s="2">
        <v>4</v>
      </c>
    </row>
    <row r="330" spans="1:26" ht="12">
      <c r="A330" s="1" t="s">
        <v>179</v>
      </c>
      <c r="G330" s="2">
        <v>20</v>
      </c>
      <c r="X330" s="2" t="s">
        <v>289</v>
      </c>
      <c r="Y330" s="2" t="s">
        <v>284</v>
      </c>
      <c r="Z330" s="2">
        <v>4</v>
      </c>
    </row>
    <row r="331" spans="1:26" ht="12">
      <c r="A331" s="1">
        <v>4</v>
      </c>
      <c r="G331" s="2">
        <v>25</v>
      </c>
      <c r="I331" s="2" t="s">
        <v>242</v>
      </c>
      <c r="X331" s="2" t="s">
        <v>290</v>
      </c>
      <c r="Y331" s="2" t="s">
        <v>283</v>
      </c>
      <c r="Z331" s="2">
        <v>4</v>
      </c>
    </row>
    <row r="332" spans="1:26" ht="12">
      <c r="A332" s="1">
        <v>5</v>
      </c>
      <c r="C332" s="2" t="s">
        <v>117</v>
      </c>
      <c r="G332" s="2">
        <v>45</v>
      </c>
      <c r="I332" s="1" t="s">
        <v>179</v>
      </c>
      <c r="X332" s="2" t="s">
        <v>306</v>
      </c>
      <c r="Y332" s="2" t="s">
        <v>179</v>
      </c>
      <c r="Z332" s="2">
        <v>5</v>
      </c>
    </row>
    <row r="333" spans="1:11" ht="12">
      <c r="A333" s="1">
        <v>6</v>
      </c>
      <c r="C333" s="1" t="s">
        <v>179</v>
      </c>
      <c r="G333" s="2">
        <v>80</v>
      </c>
      <c r="I333" s="1">
        <v>8</v>
      </c>
      <c r="K333" s="2" t="s">
        <v>196</v>
      </c>
    </row>
    <row r="334" spans="1:11" ht="12">
      <c r="A334" s="1">
        <v>7</v>
      </c>
      <c r="C334" s="1">
        <v>2</v>
      </c>
      <c r="I334" s="1">
        <v>9</v>
      </c>
      <c r="K334" s="1" t="s">
        <v>179</v>
      </c>
    </row>
    <row r="335" spans="1:26" ht="12">
      <c r="A335" s="1">
        <v>8</v>
      </c>
      <c r="C335" s="1">
        <v>3</v>
      </c>
      <c r="E335" s="2" t="s">
        <v>170</v>
      </c>
      <c r="I335" s="1">
        <v>10</v>
      </c>
      <c r="K335" s="1">
        <v>5</v>
      </c>
      <c r="O335" s="2" t="s">
        <v>256</v>
      </c>
      <c r="X335" s="2">
        <v>1</v>
      </c>
      <c r="Y335" s="2">
        <v>2</v>
      </c>
      <c r="Z335" s="2">
        <v>3</v>
      </c>
    </row>
    <row r="336" spans="1:26" ht="12">
      <c r="A336" s="1">
        <v>9</v>
      </c>
      <c r="C336" s="1">
        <v>4</v>
      </c>
      <c r="E336" s="1" t="s">
        <v>179</v>
      </c>
      <c r="I336" s="1">
        <v>11</v>
      </c>
      <c r="K336" s="1">
        <v>6</v>
      </c>
      <c r="O336" s="2" t="s">
        <v>179</v>
      </c>
      <c r="X336" s="2" t="s">
        <v>150</v>
      </c>
      <c r="Y336" s="2" t="s">
        <v>151</v>
      </c>
      <c r="Z336" s="2" t="s">
        <v>41</v>
      </c>
    </row>
    <row r="337" spans="1:26" ht="12">
      <c r="A337" s="1">
        <v>10</v>
      </c>
      <c r="C337" s="1">
        <v>5</v>
      </c>
      <c r="E337" s="1">
        <v>3</v>
      </c>
      <c r="I337" s="1">
        <v>12</v>
      </c>
      <c r="K337" s="1">
        <v>7</v>
      </c>
      <c r="O337" s="2">
        <v>2</v>
      </c>
      <c r="X337" s="2" t="s">
        <v>152</v>
      </c>
      <c r="Y337" s="2">
        <v>0</v>
      </c>
      <c r="Z337" s="2">
        <v>0</v>
      </c>
    </row>
    <row r="338" spans="1:26" ht="12.75">
      <c r="A338" s="1">
        <v>11</v>
      </c>
      <c r="C338" s="1">
        <v>6</v>
      </c>
      <c r="E338" s="1">
        <v>4</v>
      </c>
      <c r="I338" s="1">
        <v>13</v>
      </c>
      <c r="K338" s="1">
        <v>8</v>
      </c>
      <c r="X338" s="43" t="s">
        <v>220</v>
      </c>
      <c r="Y338" s="2">
        <v>5</v>
      </c>
      <c r="Z338" s="2">
        <v>5</v>
      </c>
    </row>
    <row r="339" spans="1:26" ht="12.75">
      <c r="A339" s="1">
        <v>12</v>
      </c>
      <c r="C339" s="1">
        <v>7</v>
      </c>
      <c r="E339" s="1">
        <v>5</v>
      </c>
      <c r="I339" s="1">
        <v>14</v>
      </c>
      <c r="K339" s="1">
        <v>9</v>
      </c>
      <c r="X339" s="43" t="s">
        <v>239</v>
      </c>
      <c r="Y339" s="2">
        <v>3</v>
      </c>
      <c r="Z339" s="2">
        <v>2</v>
      </c>
    </row>
    <row r="340" spans="1:11" ht="12">
      <c r="A340" s="1">
        <v>13</v>
      </c>
      <c r="C340" s="1">
        <v>8</v>
      </c>
      <c r="E340" s="1">
        <v>6</v>
      </c>
      <c r="I340" s="1">
        <v>15</v>
      </c>
      <c r="K340" s="1">
        <v>10</v>
      </c>
    </row>
    <row r="341" spans="1:11" ht="12">
      <c r="A341" s="1">
        <v>14</v>
      </c>
      <c r="C341" s="1">
        <v>9</v>
      </c>
      <c r="E341" s="1">
        <v>7</v>
      </c>
      <c r="I341" s="1">
        <v>16</v>
      </c>
      <c r="K341" s="1">
        <v>11</v>
      </c>
    </row>
    <row r="342" spans="1:11" ht="12">
      <c r="A342" s="1">
        <v>15</v>
      </c>
      <c r="C342" s="1">
        <v>10</v>
      </c>
      <c r="E342" s="1">
        <v>8</v>
      </c>
      <c r="I342" s="1">
        <v>17</v>
      </c>
      <c r="K342" s="1">
        <v>12</v>
      </c>
    </row>
    <row r="343" spans="1:11" ht="12">
      <c r="A343" s="1">
        <v>16</v>
      </c>
      <c r="C343" s="1">
        <v>11</v>
      </c>
      <c r="E343" s="1">
        <v>9</v>
      </c>
      <c r="I343" s="1">
        <v>18</v>
      </c>
      <c r="K343" s="1">
        <v>13</v>
      </c>
    </row>
    <row r="344" spans="1:11" ht="12">
      <c r="A344" s="1">
        <v>17</v>
      </c>
      <c r="C344" s="1">
        <v>12</v>
      </c>
      <c r="E344" s="1">
        <v>10</v>
      </c>
      <c r="I344" s="1">
        <v>19</v>
      </c>
      <c r="K344" s="1">
        <v>14</v>
      </c>
    </row>
    <row r="345" spans="1:11" ht="12">
      <c r="A345" s="1">
        <v>18</v>
      </c>
      <c r="C345" s="1">
        <v>13</v>
      </c>
      <c r="E345" s="1">
        <v>11</v>
      </c>
      <c r="I345" s="1">
        <v>20</v>
      </c>
      <c r="K345" s="1">
        <v>15</v>
      </c>
    </row>
    <row r="346" spans="1:11" ht="12">
      <c r="A346" s="1">
        <v>19</v>
      </c>
      <c r="C346" s="1">
        <v>14</v>
      </c>
      <c r="E346" s="1">
        <v>12</v>
      </c>
      <c r="I346" s="1">
        <v>21</v>
      </c>
      <c r="K346" s="1">
        <v>16</v>
      </c>
    </row>
    <row r="347" spans="1:11" ht="12">
      <c r="A347" s="1">
        <v>20</v>
      </c>
      <c r="C347" s="1">
        <v>15</v>
      </c>
      <c r="E347" s="1">
        <v>13</v>
      </c>
      <c r="I347" s="1">
        <v>22</v>
      </c>
      <c r="K347" s="1">
        <v>17</v>
      </c>
    </row>
    <row r="348" spans="1:11" ht="12">
      <c r="A348" s="1">
        <v>21</v>
      </c>
      <c r="C348" s="1">
        <v>16</v>
      </c>
      <c r="E348" s="1">
        <v>14</v>
      </c>
      <c r="I348" s="1">
        <v>23</v>
      </c>
      <c r="K348" s="1">
        <v>18</v>
      </c>
    </row>
    <row r="349" spans="1:11" ht="12">
      <c r="A349" s="1">
        <v>22</v>
      </c>
      <c r="C349" s="1">
        <v>17</v>
      </c>
      <c r="E349" s="1">
        <v>15</v>
      </c>
      <c r="I349" s="1">
        <v>24</v>
      </c>
      <c r="K349" s="1">
        <v>19</v>
      </c>
    </row>
    <row r="350" spans="1:11" ht="12">
      <c r="A350" s="1">
        <v>23</v>
      </c>
      <c r="C350" s="1">
        <v>18</v>
      </c>
      <c r="E350" s="1">
        <v>16</v>
      </c>
      <c r="I350" s="1">
        <v>25</v>
      </c>
      <c r="K350" s="1"/>
    </row>
    <row r="351" spans="1:11" ht="12">
      <c r="A351" s="1">
        <v>24</v>
      </c>
      <c r="C351" s="1">
        <v>19</v>
      </c>
      <c r="E351" s="1">
        <v>17</v>
      </c>
      <c r="I351" s="1">
        <v>26</v>
      </c>
      <c r="K351" s="1"/>
    </row>
    <row r="352" spans="1:9" ht="12">
      <c r="A352" s="1">
        <v>25</v>
      </c>
      <c r="C352" s="1">
        <v>20</v>
      </c>
      <c r="E352" s="1">
        <v>18</v>
      </c>
      <c r="I352" s="1">
        <v>27</v>
      </c>
    </row>
    <row r="353" spans="1:9" ht="12">
      <c r="A353" s="1">
        <v>26</v>
      </c>
      <c r="E353" s="1">
        <v>19</v>
      </c>
      <c r="I353" s="1">
        <v>28</v>
      </c>
    </row>
    <row r="354" spans="1:9" ht="12">
      <c r="A354" s="1">
        <v>27</v>
      </c>
      <c r="E354" s="1">
        <v>20</v>
      </c>
      <c r="I354" s="1">
        <v>29</v>
      </c>
    </row>
    <row r="355" spans="1:9" ht="12">
      <c r="A355" s="1">
        <v>28</v>
      </c>
      <c r="E355" s="1"/>
      <c r="I355" s="1">
        <v>30</v>
      </c>
    </row>
    <row r="356" spans="1:9" ht="12">
      <c r="A356" s="1">
        <v>29</v>
      </c>
      <c r="I356" s="1">
        <v>31</v>
      </c>
    </row>
    <row r="357" spans="1:9" ht="12">
      <c r="A357" s="1">
        <v>30</v>
      </c>
      <c r="I357" s="1">
        <v>32</v>
      </c>
    </row>
    <row r="358" spans="1:9" ht="12">
      <c r="A358" s="1">
        <v>31</v>
      </c>
      <c r="I358" s="1">
        <v>33</v>
      </c>
    </row>
    <row r="359" spans="1:9" ht="12">
      <c r="A359" s="1">
        <v>32</v>
      </c>
      <c r="I359" s="1">
        <v>34</v>
      </c>
    </row>
    <row r="360" spans="1:9" ht="12">
      <c r="A360" s="1">
        <v>33</v>
      </c>
      <c r="I360" s="1">
        <v>35</v>
      </c>
    </row>
    <row r="361" spans="1:9" ht="12">
      <c r="A361" s="1">
        <v>34</v>
      </c>
      <c r="I361" s="1">
        <v>36</v>
      </c>
    </row>
    <row r="362" spans="1:9" ht="12">
      <c r="A362" s="1">
        <v>35</v>
      </c>
      <c r="I362" s="1">
        <v>37</v>
      </c>
    </row>
    <row r="363" spans="1:9" ht="12">
      <c r="A363" s="1">
        <v>36</v>
      </c>
      <c r="I363" s="1">
        <v>38</v>
      </c>
    </row>
    <row r="364" spans="1:9" ht="12">
      <c r="A364" s="1">
        <v>37</v>
      </c>
      <c r="I364" s="1">
        <v>39</v>
      </c>
    </row>
    <row r="365" spans="1:9" ht="12">
      <c r="A365" s="1">
        <v>38</v>
      </c>
      <c r="I365" s="1">
        <v>40</v>
      </c>
    </row>
    <row r="366" spans="1:9" ht="12">
      <c r="A366" s="1">
        <v>39</v>
      </c>
      <c r="I366" s="1">
        <v>41</v>
      </c>
    </row>
    <row r="367" spans="1:9" ht="12">
      <c r="A367" s="1">
        <v>40</v>
      </c>
      <c r="I367" s="1">
        <v>42</v>
      </c>
    </row>
    <row r="368" spans="1:9" ht="12">
      <c r="A368" s="1">
        <v>41</v>
      </c>
      <c r="I368" s="1">
        <v>43</v>
      </c>
    </row>
    <row r="369" spans="1:9" ht="12">
      <c r="A369" s="1">
        <v>42</v>
      </c>
      <c r="I369" s="1">
        <v>44</v>
      </c>
    </row>
    <row r="370" spans="1:9" ht="12">
      <c r="A370" s="1">
        <v>43</v>
      </c>
      <c r="I370" s="1">
        <v>45</v>
      </c>
    </row>
    <row r="371" spans="1:9" ht="12">
      <c r="A371" s="1">
        <v>44</v>
      </c>
      <c r="I371" s="1">
        <v>46</v>
      </c>
    </row>
    <row r="372" spans="1:9" ht="12">
      <c r="A372" s="1">
        <v>45</v>
      </c>
      <c r="I372" s="1">
        <v>47</v>
      </c>
    </row>
    <row r="373" spans="1:9" ht="12">
      <c r="A373" s="1">
        <v>46</v>
      </c>
      <c r="I373" s="1">
        <v>48</v>
      </c>
    </row>
    <row r="374" spans="1:9" ht="12">
      <c r="A374" s="1">
        <v>47</v>
      </c>
      <c r="I374" s="1">
        <v>49</v>
      </c>
    </row>
    <row r="375" spans="1:9" ht="12">
      <c r="A375" s="1">
        <v>48</v>
      </c>
      <c r="I375" s="1">
        <v>50</v>
      </c>
    </row>
    <row r="376" spans="1:9" ht="12">
      <c r="A376" s="1">
        <v>49</v>
      </c>
      <c r="I376" s="1"/>
    </row>
    <row r="377" spans="1:9" ht="12">
      <c r="A377" s="1">
        <v>50</v>
      </c>
      <c r="I377" s="1"/>
    </row>
    <row r="378" ht="12">
      <c r="I378" s="1"/>
    </row>
    <row r="379" ht="12">
      <c r="I379" s="1"/>
    </row>
  </sheetData>
  <sheetProtection password="E698" sheet="1" objects="1" scenarios="1"/>
  <mergeCells count="5">
    <mergeCell ref="A244:A245"/>
    <mergeCell ref="V242:W242"/>
    <mergeCell ref="A2:X2"/>
    <mergeCell ref="A3:X3"/>
    <mergeCell ref="A7:X7"/>
  </mergeCells>
  <dataValidations count="68">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148 M159 M155 M186 M175 M182 M201 M194">
      <formula1>$A$269:$A$272</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148 N159 N194 N155 N175 N182 N201">
      <formula1>$A$269:$A$272</formula1>
    </dataValidation>
    <dataValidation type="list" allowBlank="1" showInputMessage="1" showErrorMessage="1" promptTitle="Anzahl Handwaffen" prompt="Bitte wähle die Anzahl der Handwaffen aus, die der Charakter oder der Krieger verwendet, aus der Liste aus!" errorTitle="Das geht nicht!" error="Ein Charakter oder eine Einheit kann immer nur keine, eine oder zwei Handwaffen tragen. Bitte aus der Liste auswählen!" sqref="O106 O45">
      <formula1>$J$269:$J$271</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106 P45">
      <formula1>$J$275:$J$276</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106 R155 R45">
      <formula1>$J$275:$J$276</formula1>
    </dataValidation>
    <dataValidation type="list" allowBlank="1" showInputMessage="1" showErrorMessage="1" promptTitle="Orion, König des Waldes" prompt="Bitte wähle, ob Orion als Armeegeneral sein Heer anführt. Wenn ja, wähle 1 aus der Liste aus, ansonsten -!" errorTitle="Das geht nicht!" error="Entweder nimmt Orion an der Schlacht teil oder nicht!" sqref="B10">
      <formula1>$J$275:$J$276</formula1>
    </dataValidation>
    <dataValidation type="list" allowBlank="1" showInputMessage="1" showErrorMessage="1" promptTitle="Anzahl Hochgeborener" prompt="Bitte wähle die Anzahl der eingesetzten Hochgeborenen aus der Liste aus!" errorTitle="So viele?!?" error="Mehr als drei? Was für eine Armee! Bitte wähle aus der Liste aus!" sqref="B45">
      <formula1>$A$269:$A$272</formula1>
    </dataValidation>
    <dataValidation type="list" allowBlank="1" showInputMessage="1" showErrorMessage="1" promptTitle="Anzahl der Waldelfenreiter" prompt="Bitte wähle die Anzahl aller Waldelfenreiter in allen Einheiten dieser Truppengattung aus!" errorTitle="Da stimmt was nicht!" error="Bitte wähle die Truppenstärke aus der Liste aus!" sqref="B159">
      <formula1>$V$285:$V$302</formula1>
    </dataValidation>
    <dataValidation type="list" allowBlank="1" showInputMessage="1" showErrorMessage="1" promptTitle="Schwestern des Zwielichts" prompt="Bitte wähle, ob die Schwestern des Zwielichts, die Zwillinge Naestra und Arahan, an der Schlacht teilnehmen. Wenn ja, wähle 1 aus der Liste aus, ansonsten -!" errorTitle="Das geht nicht!" error="Entweder nimmt die Schwestern an der Schlacht teil oder nicht!" sqref="B76">
      <formula1>$J$275:$J$276</formula1>
    </dataValidation>
    <dataValidation type="list" allowBlank="1" showInputMessage="1" showErrorMessage="1" promptTitle="Magier-Stufe" prompt="Bitte wähle aus der Liste aus, ob Du Deinen Zauberweber von Stufe 3 auf Stufe 4 aufwertest (35 P)!" errorTitle="Das geht nicht!" error="Ein Baumsänger hat entweder Stufe 3 oder 4. Wähle aus der Liste!" sqref="B58">
      <formula1>$F$278:$F$279</formula1>
    </dataValidation>
    <dataValidation type="list" allowBlank="1" showInputMessage="1" showErrorMessage="1" promptTitle="Anzahl Zaubersänger" prompt="Bitte wähle die Anzahl der eingesetzten Zaubersänger aus der Liste aus!" errorTitle="So viele?!?" error="Mehr als drei? Was für eine Armee! Bitte wähle aus der Liste aus!" sqref="B118">
      <formula1>$A$269:$A$272</formula1>
    </dataValidation>
    <dataValidation type="list" allowBlank="1" showInputMessage="1" showErrorMessage="1" promptTitle="Magische Gegenstände" prompt="Dieser Charakter kann sich mit den magischen Gegenständen im Wert von bis zu 50 Punkten rüsten (Regelbuch 8. Edition, Armeebuch S. 62-63). Wähle einen entsprechenden Wert aus der Liste aus!" errorTitle="Du willst das Imperium führen?" error="Den ausgewählten Magiewert gibt es nicht! Verwende die Liste!" sqref="V106 V118">
      <formula1>$Q$297:$Q$307</formula1>
    </dataValidation>
    <dataValidation type="list" allowBlank="1" showInputMessage="1" showErrorMessage="1" promptTitle="Magier-Stufe" prompt="Bitte wähle aus der Liste aus, ob Du Deinen Zaubersänger von Stufe 1 auf Stufe 2 aufwertest (35 P)!" errorTitle="Das geht nicht!" error="Ein baumweber hat entweder Stufe 1 oder 2. Wähle aus der Liste!" sqref="B119">
      <formula1>$G$278:$G$279</formula1>
    </dataValidation>
    <dataValidation type="list" allowBlank="1" showInputMessage="1" showErrorMessage="1" promptTitle="Anzahl der Waldelfenkrieger" prompt="Bitte wähle die Anzahl aller Waldelfenkrieger in allen Einheiten dieser Truppengattung aus!" errorTitle="Da stimmt was nicht!" error="Bitte wähle die Truppenstärke aus der Liste aus!" sqref="B148">
      <formula1>$A$283:$A$325</formula1>
    </dataValidation>
    <dataValidation type="list" allowBlank="1" showInputMessage="1" showErrorMessage="1" promptTitle="Anzahl der Wächter" prompt="Bitte wähle die Anzahl aller Wächter der Ewigen Wache in allen Einheiten dieser Truppengattung aus!" errorTitle="Da stimmt was nicht!" error="Bitte wähle die Truppenstärke aus der Liste aus!" sqref="B155">
      <formula1>$A$283:$A$325</formula1>
    </dataValidation>
    <dataValidation type="list" allowBlank="1" showInputMessage="1" showErrorMessage="1" promptTitle="Anzahl der Dryaden" prompt="Bitte wähle die Anzahl aller Dryaden in allen Einheiten dieser Truppengattung aus!" errorTitle="Da stimmt was nicht!" error="Bitte wähle die Truppenstärke aus der Liste aus!" sqref="B168">
      <formula1>$A$283:$A$325</formula1>
    </dataValidation>
    <dataValidation type="list" allowBlank="1" showInputMessage="1" showErrorMessage="1" promptTitle="Anzahl der Kriegsfalkenreiter" prompt="Bitte wähle die Anzahl aller Reiter in allen Einheiten der Kriegsfalken aus!" errorTitle="Da stimmt was nicht" error="Bitte wähle die Truppenstärke aus der Liste aus!" sqref="B210">
      <formula1>$C$333:$C$352</formula1>
    </dataValidation>
    <dataValidation type="list" allowBlank="1" showInputMessage="1" showErrorMessage="1" promptTitle="Anzahl der Kampftänzer" prompt="Bitte wähle die Anzahl aller Kampftänzer in allen Einheiten dieser Truppengattung aus!" errorTitle="Da stimmt was nicht" error="Bitte wähle die Truppenstärke aus der Liste aus!" sqref="B186">
      <formula1>$A$330:$A$377</formula1>
    </dataValidation>
    <dataValidation type="list" allowBlank="1" showInputMessage="1" showErrorMessage="1" promptTitle="Anzahl der Jäger" prompt="Bitte wähle die Anzahl aller Jäger der Wilden Jagd des Kurnous in allen Einheiten dieser Truppengattung aus!" errorTitle="Da stimmt was nicht" error="Bitte wähle die Truppenstärke aus der Liste aus!" sqref="B194">
      <formula1>$V$285:$V$302</formula1>
    </dataValidation>
    <dataValidation type="list" allowBlank="1" showInputMessage="1" showErrorMessage="1" promptTitle="Anzahl der Waldläufer" prompt="Bitte wähle die Anzahl aller Waldläufer in allen Einheiten dieser Truppengattung aus!" errorTitle="Da stimmt was nicht!" error="Bitte wähle die Truppenstärke aus der Liste aus!" sqref="B224">
      <formula1>$A$330:$A$377</formula1>
    </dataValidation>
    <dataValidation type="list" allowBlank="1" showInputMessage="1" showErrorMessage="1" promptTitle="Jagdhunde" prompt="Bitte wähle aus der Liste aus, ob Orion von 2 Jagdhunden auf seiner wilden Jagd begleitet wird." errorTitle="Das geht nicht!" error="Wähle die Anzahl der Jagdhunde aus der Liste aus!" sqref="B20">
      <formula1>$O$336:$O$337</formula1>
    </dataValidation>
    <dataValidation type="list" allowBlank="1" showInputMessage="1" showErrorMessage="1" promptTitle="Anzahl der Zauberweber" prompt="Bitte wähle die Anzahl der eingesetzten Zauberweber aus der Liste aus!" errorTitle="So viele?!?" error="Mehr als drei? Was für eine Armee! Bitte wähle aus der Liste aus!" sqref="B57">
      <formula1>$A$269:$A$272</formula1>
    </dataValidation>
    <dataValidation type="list" allowBlank="1" showInputMessage="1" showErrorMessage="1" promptTitle="Drycha" prompt="Bitte wähle, ob die Dryade Drycha an der Schlacht teilnimmt.  Wenn ja, wähle 1 aus der Liste aus, ansonsten -!" errorTitle="Das geht nicht!" error="Entweder nimmt Drycha an der Schlacht teil oder nicht!" sqref="B97">
      <formula1>$J$275:$J$276</formula1>
    </dataValidation>
    <dataValidation type="list" allowBlank="1" showInputMessage="1" showErrorMessage="1" promptTitle="Walddrache der Schwestern" prompt="Bitte wähle, ob die Schwestern des Zwielichts, die Zwillinge Naestra und Arahan, auf ihrem Walddrachen in die Schlacht reiten. Wenn ja, wähle 1 aus der Liste aus, ansonsten -!" errorTitle="Das geht nicht!" error="Entweder reiten Schwestern auf dem Walddrachen oder nicht!" sqref="B90">
      <formula1>$J$275:$J$276</formula1>
    </dataValidation>
    <dataValidation type="list" allowBlank="1" showInputMessage="1" showErrorMessage="1" promptTitle="Riesenadler der Schwestern" prompt="Bitte wähle, ob die Schwestern des Zwielichts, die Zwillinge Naestra und Arahan, auf ihrem Riesenadler in die Schlacht reiten. Wenn ja, wähle 1 aus der Liste aus, ansonsten -!" errorTitle="Das geht nicht!" error="Entweder reiten Schwestern auf dem Riesenadler oder nicht!" sqref="B88">
      <formula1>$J$275:$J$276</formula1>
    </dataValidation>
    <dataValidation type="list" allowBlank="1" showInputMessage="1" showErrorMessage="1" promptTitle="Anzahl der Baumältesten" prompt="Bitte wähle die Anzahl der eingesetzten Baumältesten aus der Liste aus!" errorTitle="So viele?!?" error="Mehr als drei? Was für eine Armee! Bitte wähle aus der Liste aus!" sqref="B65">
      <formula1>$A$269:$A$272</formula1>
    </dataValidation>
    <dataValidation type="list" allowBlank="1" showInputMessage="1" showErrorMessage="1" promptTitle="Anzahl Adlige" prompt="Bitte wähle die Anzahl der eingesetzten Adligen aus der Liste aus!" errorTitle="So viele?!?" error="Mehr als drei? Was für eine Armee! Bitte wähle aus der Liste aus!" sqref="B106">
      <formula1>$A$269:$A$272</formula1>
    </dataValidation>
    <dataValidation type="list" allowBlank="1" showInputMessage="1" showErrorMessage="1" promptTitle="Anzahl Erynen" prompt="Bitte wähle die Anzahl der eingesetzten Erynen aus der Liste aus!" errorTitle="So viele?!?" error="Mehr als drei? Was für eine Armee! Bitte wähle aus der Liste aus!" sqref="B141">
      <formula1>$A$269:$A$272</formula1>
    </dataValidation>
    <dataValidation type="list" allowBlank="1" showInputMessage="1" showErrorMessage="1" promptTitle="Riesenadler" prompt="Bitte wähle die Anzahl der Riesenadler aus der Liste aus!" errorTitle="So viele?!?" error="Mehr als drei? Was für eine Armee! Bitte wähle aus der Liste aus!" sqref="B230">
      <formula1>$C$290:$C$300</formula1>
    </dataValidation>
    <dataValidation type="list" allowBlank="1" showInputMessage="1" showErrorMessage="1" promptTitle="Anzahl Baummenschen" prompt="Bitte wähle die Anzahl der eingesetzten Baummenschen aus der Liste aus!" errorTitle="So viele?!?" error="Mehr als drei? Was für eine Armee! Bitte wähle aus der Liste aus!" sqref="B233">
      <formula1>$A$269:$A$272</formula1>
    </dataValidation>
    <dataValidation type="list" allowBlank="1" showInputMessage="1" showErrorMessage="1" promptTitle="Anzahl Bogenmeister" prompt="Bitte wähle die Anzahl aller bei den Waldelfenkriegern eingesetzten Bogenmeister aus der Liste aus!" errorTitle="So viele?!?" error="Mehr als drei? Was für eine Armee! Bitte wähle aus der Liste aus!" sqref="B149">
      <formula1>$A$269:$A$272</formula1>
    </dataValidation>
    <dataValidation type="list" allowBlank="1" showInputMessage="1" showErrorMessage="1" promptTitle="Anzahl der Waldritter" prompt="Bitte wähle die Anzahl aller bei den Waldelfenreitern eingesetzten Waldritter aus der Liste aus!" errorTitle="So viele?!?" error="Mehr als drei? Was für eine Armee! Bitte wähle aus der Liste aus!" sqref="B160">
      <formula1>$A$269:$A$272</formula1>
    </dataValidation>
    <dataValidation type="list" allowBlank="1" showInputMessage="1" showErrorMessage="1" promptTitle="Anzahl der Nymphen" prompt="Bitte wähle die Anzahl aller bei den Dryaden eingesetzten Nymphen aus der Liste aus!" errorTitle="So viele?!?" error="Mehr als drei? Was für eine Armee! Bitte wähle aus der Liste aus!" sqref="B169">
      <formula1>$A$269:$A$272</formula1>
    </dataValidation>
    <dataValidation type="list" allowBlank="1" showInputMessage="1" showErrorMessage="1" promptTitle="Anzahl der Klingensänger" prompt="Bitte wähle die Anzahl aller bei den Kampftänzern eingesetzten Klingensänger aus der Liste aus!" errorTitle="So viele?!?" error="Mehr als drei? Was für eine Armee! Bitte wähle aus der Liste aus!" sqref="B187">
      <formula1>$A$269:$A$272</formula1>
    </dataValidation>
    <dataValidation type="list" allowBlank="1" showInputMessage="1" showErrorMessage="1" promptTitle="Anzahl der Herren der Jagd" prompt="Bitte wähle die Anzahl aller bei der Wilden Jagd des Kurnous eingesetzten Herren der Jagd aus der Liste aus!" errorTitle="So viele?!?" error="Mehr als drei? Was für eine Armee! Bitte wähle aus der Liste aus!" sqref="B195">
      <formula1>$A$269:$A$272</formula1>
    </dataValidation>
    <dataValidation type="list" allowBlank="1" showInputMessage="1" showErrorMessage="1" promptTitle="Anzahl der Baumschrate" prompt="Bitte wähle die Anzahl aller Baumschrate in allen Einheiten aus!" errorTitle="Da stimmt was nicht" error="Bitte wähle die Anzahl aller Baumschrate in allen Einheiten aus der Liste aus!" sqref="B217">
      <formula1>$C$333:$C$352</formula1>
    </dataValidation>
    <dataValidation type="list" allowBlank="1" showInputMessage="1" showErrorMessage="1" promptTitle="Anzahl der Alten Seele" prompt="Bitte wähle die Anzahl aller bei den Baumschraten eingesetzten Alten Seele aus der Liste aus!" errorTitle="So viele?!?" error="Mehr als drei? Was für eine Armee! Bitte wähle aus der Liste aus!" sqref="B218">
      <formula1>$A$269:$A$272</formula1>
    </dataValidation>
    <dataValidation type="list" allowBlank="1" showInputMessage="1" showErrorMessage="1" promptTitle="Anzahl der Hüter der Wege" prompt="Bitte wähle die Anzahl aller bei den Waldläufern eingesetzten Hüter der Wege aus der Liste aus!" errorTitle="So viele?!?" error="Mehr als drei? Was für eine Armee! Bitte wähle aus der Liste aus!" sqref="B225">
      <formula1>$A$269:$A$272</formula1>
    </dataValidation>
    <dataValidation type="list" allowBlank="1" showInputMessage="1" showErrorMessage="1" promptTitle="Anzahl der Windreiter" prompt="Bitte wähle die Anzahl aller bei den Kriegsfalken eingesetzten Windreiter aus der Liste aus!" errorTitle="So viele?!?" error="Mehr als drei? Was für eine Armee! Bitte wähle aus der Liste aus!" sqref="B211">
      <formula1>$A$269:$A$272</formula1>
    </dataValidation>
    <dataValidation type="list" allowBlank="1" showInputMessage="1" showErrorMessage="1" promptTitle="Anzahl der Ewigen Hüter" prompt="Bitte wähle die Anzahl aller bei der Ewigen Wache eingesetzten Ewigen Hüter aus der Liste aus!" errorTitle="So viele?!?" error="Mehr als drei? Was für eine Armee! Bitte wähle aus der Liste aus!" sqref="B156">
      <formula1>$A$269:$A$272</formula1>
    </dataValidation>
    <dataValidation type="list" allowBlank="1" showInputMessage="1" showErrorMessage="1" promptTitle="Magische Standarte" prompt="Die Einheit kann eine magische Standarte im Wert von bis zu 50 Punkten erhalten (Regelbuch 8 Edition S. 175, Armeebuch S.63). Wähle einen entsprechenden Wert aus der Liste aus!" errorTitle="Du willst das Imperium führen?" error="Den ausgewählten Magiewert gibt es nicht! Verwende die Liste!" sqref="V194 V201">
      <formula1>$Q$297:$Q$307</formula1>
    </dataValidation>
    <dataValidation type="list" allowBlank="1" showInputMessage="1" showErrorMessage="1" promptTitle="Anzahl der Wildwood Ranger" prompt="Bitte wähle die Anzahl aller Wildwood Ranger in allen Einheiten dieser Truppengattung aus!" errorTitle="Da stimmt was nicht!" error="Bitte wähle die Truppenstärke aus der Liste aus!" sqref="B182">
      <formula1>$A$283:$A$325</formula1>
    </dataValidation>
    <dataValidation type="list" allowBlank="1" showInputMessage="1" showErrorMessage="1" promptTitle="Anzahl der Hüter des Bannwaldes" prompt="Bitte wähle die Anzahl aller bei der Wildwood Ranger eingesetzten Hüter des Bannwaldes aus der Liste aus!" errorTitle="So viele?!?" error="Mehr als drei? Was für eine Armee! Bitte wähle aus der Liste aus!" sqref="B183">
      <formula1>$A$269:$A$272</formula1>
    </dataValidation>
    <dataValidation type="list" allowBlank="1" showInputMessage="1" showErrorMessage="1" promptTitle="Anzahl der Dornenschwestern" prompt="Bitte wähle die Anzahl aller Dornenschwestern in allen Einheiten dieser Truppengattung aus!" errorTitle="Da stimmt was nicht" error="Bitte wähle die Truppenstärke aus der Liste aus!" sqref="B201">
      <formula1>$V$285:$V$302</formula1>
    </dataValidation>
    <dataValidation type="list" allowBlank="1" showInputMessage="1" showErrorMessage="1" promptTitle="Anzahl der Herren der Jagd" prompt="Bitte wähle die Anzahl aller bei den Dornenschwestern eingesetzten Zofen der Dornen aus der Liste aus!" errorTitle="So viele?!?" error="Mehr als drei? Was für eine Armee! Bitte wähle aus der Liste aus!" sqref="B202">
      <formula1>$A$269:$A$272</formula1>
    </dataValidation>
    <dataValidation type="list" allowBlank="1" showInputMessage="1" showErrorMessage="1" promptTitle="Anzahl der Kundschafter" prompt="Bitte wähle die Anzahl aller Kundschafter in allen Einheiten dieser Truppengattung aus!" errorTitle="Da stimmt was nicht!" error="Bitte wähle die Truppenstärke aus der Liste aus!" sqref="B175">
      <formula1>$A$330:$A$377</formula1>
    </dataValidation>
    <dataValidation type="list" allowBlank="1" showInputMessage="1" showErrorMessage="1" promptTitle="Anzahl Meister-Kundschafter" prompt="Bitte wähle die Anzahl aller bei den Kundschaftern eingesetzten Meister-Kundschafter aus der Liste aus!" errorTitle="So viele?!?" error="Mehr als drei? Was für eine Armee! Bitte wähle aus der Liste aus!" sqref="B176">
      <formula1>$A$269:$A$272</formula1>
    </dataValidation>
    <dataValidation type="list" allowBlank="1" showInputMessage="1" showErrorMessage="1" promptTitle="Anzahl Schattentänzer" prompt="Bitte wähle die Anzahl der eingesetzten Schattentänzer aus der Liste aus!" errorTitle="So viele?!?" error="Mehr als drei? Was für eine Armee! Bitte wähle aus der Liste aus!" sqref="B126">
      <formula1>$A$269:$A$272</formula1>
    </dataValidation>
    <dataValidation type="list" allowBlank="1" showInputMessage="1" showErrorMessage="1" promptTitle="Anzahl Wegpirscher" prompt="Bitte wähle die Anzahl der eingesetzten Wegpirscher aus der Liste aus!" errorTitle="So viele?!?" error="Mehr als drei? Was für eine Armee! Bitte wähle aus der Liste aus!" sqref="B134">
      <formula1>$A$269:$A$272</formula1>
    </dataValidation>
    <dataValidation type="list" allowBlank="1" showInputMessage="1" showErrorMessage="1" promptTitle="Durthu" prompt="Bitte wähle, ob Durthu an der Schlacht teilnimmt. Wenn ja, wähle 1 aus der Liste aus, ansonsten -!" errorTitle="Das geht nicht!" error="Entweder nimmt Orion an der Schlacht teil oder nicht!" sqref="B25">
      <formula1>$J$275:$J$276</formula1>
    </dataValidation>
    <dataValidation type="list" allowBlank="1" showInputMessage="1" showErrorMessage="1" promptTitle="Araloth" prompt="Bitte wähle, ob Araloth an der Schlacht teilnimmt. Wenn ja, wähle 1 aus der Liste aus, ansonsten -!" errorTitle="Das geht nicht!" error="Entweder nimmt Orion an der Schlacht teil oder nicht!" sqref="B37">
      <formula1>$J$275:$J$276</formula1>
    </dataValidation>
    <dataValidation type="list" allowBlank="1" showInputMessage="1" showErrorMessage="1" promptTitle="Reittier" prompt="Bitte wählde das Reittier des Charaktermodels aus der Liste aus, soweit in die Schlacht geritten!" errorTitle="Raus aus dem Wald!" error="Du willst Athel Loren beschützen? Wähle aus der Liste aus." sqref="A121">
      <formula1>"Kein Reittier,Elfenroß,Riesenadler,Einhorn"</formula1>
    </dataValidation>
    <dataValidation type="list" allowBlank="1" showInputMessage="1" showErrorMessage="1" promptTitle="Anzahl Reittiere" prompt="Bitte wähle die Anzahl der in die Schlacht gerittenen Reittiere aus der Liste aus!" errorTitle="So viele?!?" error="Mehr als drei? Was für eine Armee! Bitte wähle aus der Liste aus!" sqref="B51 B60 B121 B114">
      <formula1>$A$269:$A$272</formula1>
    </dataValidation>
    <dataValidation type="list" allowBlank="1" showInputMessage="1" showErrorMessage="1" promptTitle="Armeestandarte" prompt="Bitte wähle eine 1 aus der Liste aus, wenn dieses Charaktermodell die Armeestandarte trägt!" errorTitle="So viele?!?" error="Mehr als drei? Was für eine Armee! Bitte wähle aus der Liste aus!" sqref="B112">
      <formula1>$J$275:$J$276</formula1>
    </dataValidation>
    <dataValidation type="list" allowBlank="1" showInputMessage="1" showErrorMessage="1" promptTitle="Magische Standarten" prompt="Die Armeestandarte kann mit magischen Standarten  ohne Punktbegrenzung (Regelbuch 8. Edition S. 175, Armeebuch S. 63) ausgestattet werden. Dieser Charakter kann dann jedoch keine anderen magischen Gegenstände erhalten. Wähle einen Wert aus der Liste aus!" errorTitle="Kann nicht sein!" error="Den ausgewählte Runenwert gibt es nicht! Verwende die Liste!" sqref="V112">
      <formula1>$Q$297:$Q$327</formula1>
    </dataValidation>
    <dataValidation type="list" allowBlank="1" showInputMessage="1" showErrorMessage="1" promptTitle="Reittier" prompt="Bitte wählde das Reittier des Charaktermodels aus der Liste aus, soweit in die Schlacht geritten!" errorTitle="Raus aus dem Wald!" error="Du willst Athel Loren beschützen? Wähle aus der Liste aus." sqref="A60">
      <formula1>"Kein Reittier, Elfenroß, Riesenadler, Einhorn"</formula1>
    </dataValidation>
    <dataValidation type="list" allowBlank="1" showInputMessage="1" showErrorMessage="1" promptTitle="Reittier" prompt="Bitte wählde das Reittier des Charaktermodels aus der Liste aus, soweit in die Schlacht geritten!" errorTitle="Raus aus dem Wald!" error="Du willst Athel Loren beschützen? Wähle aus der Liste aus." sqref="A51">
      <formula1>"Kein Reittier,Elfenroß,Riesenhirsch,Riesenadler,Walddrache"</formula1>
    </dataValidation>
    <dataValidation type="list" allowBlank="1" showInputMessage="1" showErrorMessage="1" promptTitle="Reittier" prompt="Bitte wählde das Reittier des Charaktermodels aus der Liste aus, soweit in die Schlacht geritten!" errorTitle="Raus aus dem Wald!" error="Du willst Athel Loren beschützen? Wähle aus der Liste aus." sqref="A114">
      <formula1>"Kein Reittier,Elfenroß,Riesenhirsch,Riesenadler"</formula1>
    </dataValidation>
    <dataValidation type="list" allowBlank="1" showInputMessage="1" showErrorMessage="1" promptTitle="Magische Gegenstände" prompt="Dieser Charakter kann sich mit den magischen Gegenständen im Wert von bis zu 25 Punkten rüsten (Regelbuch 8. Edition, Armeebuch S. 62-63). Wähle einen entsprechenden Wert aus der Liste aus!" errorTitle="Du willst das Imperium führen?" error="Den ausgewählten Magiewert gibt es nicht! Verwende die Liste!" sqref="V126 V134">
      <formula1>$Q$297:$Q$302</formula1>
    </dataValidation>
    <dataValidation type="list" allowBlank="1" showInputMessage="1" showErrorMessage="1" promptTitle="Magier-Stufe" prompt="Bitte wähle aus der Liste aus, ob der Schattentänzer ein Zauberer der Stufe 1 ist (60 P)!" errorTitle="Das geht nicht!" error="Ein baumweber hat entweder Stufe 1 oder 2. Wähle aus der Liste!" sqref="B127">
      <formula1>$J$275:$J$276</formula1>
    </dataValidation>
    <dataValidation type="list" allowBlank="1" showInputMessage="1" showErrorMessage="1" promptTitle="Würgewurzel" prompt="Bitte wähle aus, ob der Baummensch über die Schußattacke Würgewurzel (20 P) verfügt!" errorTitle="Raus aus dem Wald!" error="Du willst Athel Loren verteidigen? Wähle aus der Liste aus" sqref="X238 X71">
      <formula1>$X$320:$X$321</formula1>
    </dataValidation>
    <dataValidation type="list" allowBlank="1" showInputMessage="1" showErrorMessage="1" promptTitle="Anzahl Handwaffen" prompt="Anstelle von 2 Handwaffen können Krampftänzer auch eine Handwaffe und einen Asrai-Speer (1 P) verwenden! Wenn die Krampftänzer einen Asrai-Speer benutzen, wähle 1 aus der Liste aus, ansonsten 2!" errorTitle="Das geht nicht!" error="Ein Charakter oder eine Einheit kann immer nur keine, eine oder zwei Handwaffen tragen. Bitte aus der Liste auswählen!" sqref="O186">
      <formula1>$J$270:$J$271</formula1>
    </dataValidation>
    <dataValidation type="list" allowBlank="1" showInputMessage="1" showErrorMessage="1" promptTitle="Magische Standarte" prompt="Die Einheit kann eine magische Standarte im Wert von bis zu 25 Punkten erhalten (Regelbuch 8 Edition S. 175, Armeebuch S.63). Wähle einen entsprechenden Wert aus der Liste aus!" errorTitle="Du willst das Imperium führen?" error="Den ausgewählten Magiewert gibt es nicht! Verwende die Liste!" sqref="V182 V155 V159 V148">
      <formula1>$Q$297:$Q$302</formula1>
    </dataValidation>
    <dataValidation type="list" allowBlank="1" showInputMessage="1" showErrorMessage="1" promptTitle="Verzauberte Pfeile" prompt="Dieser Charakter oder diese Einkeit kann mit folgenden verzauberten Pfeilen ausgerüstet werden, für 3 - 5 Punkte je Modell. Bitte wähle aus der Liste!" errorTitle="Waldlümmel" error="Du willst die Asrai in den Krieg führen? Wähle aus der Liste aus!" sqref="X178 X164 X151 X110 X49">
      <formula1>$X$326:$X$332</formula1>
    </dataValidation>
    <dataValidation type="list" allowBlank="1" showInputMessage="1" showErrorMessage="1" promptTitle="zusätzliche Waffen" prompt="Dieser Charakter mit folgenden zusätzlichen Waffen ausgerüstet werden. Bitte wähle aus der Liste!" errorTitle="Waldlümmel" error="Du willst die Asrai in den Krieg führen? Wähle aus der Liste aus!" sqref="X120 X59">
      <formula1>$X$337:$X$338</formula1>
    </dataValidation>
    <dataValidation type="list" allowBlank="1" showInputMessage="1" showErrorMessage="1" promptTitle="zusätzliche Waffen" prompt="Dieser Charakter mit folgenden zusätzlichen Waffen ausgerüstet werden. Bitte wähle aus der Liste!" errorTitle="Waldlümmel" error="Du willst die Asrai in den Krieg führen? Wähle aus der Liste aus!" sqref="X109 X48">
      <formula1>"Keine weitere Waffe,Asrai-Speer bei Angriff S=+1, rüstungsbrechend"</formula1>
    </dataValidation>
    <dataValidation type="list" allowBlank="1" showInputMessage="1" showErrorMessage="1" promptTitle="Magische Gegenstände" prompt="Dieser Charakter kann sich mit den magischen Gegenständen im Wert von bis zu 100 Punkten rüsten (Regelbuch 8. Edition, Armeebuch S. 62-63). Wähle einen entsprechenden Wert aus der Liste aus!" errorTitle="Du willst das Imperium führen?" error="Den ausgewählten Magiewert gibt es nicht! Verwende die Liste!" sqref="V45 V57 V65">
      <formula1>$Q$297:$Q$317</formula1>
    </dataValidation>
    <dataValidation type="list" allowBlank="1" showInputMessage="1" showErrorMessage="1" promptTitle="Magier-Stufe" prompt="Ein Baumältester ist ein Zaubere der Stufe 2. Er kann auf Stufe 3 oder Stufe 4 aufgewertet werden (je 35 P)!" errorTitle="Das geht nicht!" error="Ein Baumältester hat entweder Stufe 2, 3 oder 4. Wähle aus der Liste!" sqref="B66">
      <formula1>$Q$271:$Q$273</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2008-01-27T09:16:30Z</cp:lastPrinted>
  <dcterms:created xsi:type="dcterms:W3CDTF">2005-07-06T06:26:40Z</dcterms:created>
  <dcterms:modified xsi:type="dcterms:W3CDTF">2009-06-02T09:42:32Z</dcterms:modified>
  <cp:category/>
  <cp:version/>
  <cp:contentType/>
  <cp:contentStatus/>
</cp:coreProperties>
</file>