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416" windowWidth="27160" windowHeight="15340" activeTab="0"/>
  </bookViews>
  <sheets>
    <sheet name="Armeebogen" sheetId="1" r:id="rId1"/>
  </sheets>
  <definedNames>
    <definedName name="Eisendrachen">'Armeebogen'!$X$430:$AA$434</definedName>
    <definedName name="Gyrokopter">'Armeebogen'!$X$442:$Z$445</definedName>
    <definedName name="King">'Armeebogen'!$X$469:$Z$471</definedName>
    <definedName name="Matrixladertypen">'Armeebogen'!$B$125:$E$146</definedName>
    <definedName name="Ruestung">'Armeebogen'!$Y$408:$Z$411</definedName>
    <definedName name="Ruestung2">'Armeebogen'!$Y$408:$Z$412</definedName>
    <definedName name="RuestungKaval">'Armeebogen'!$AA$408:$AB$412</definedName>
    <definedName name="RuestungKavallerie">'Armeebogen'!$AA$408:$AB$410</definedName>
    <definedName name="RuestungKavallerie2">'Armeebogen'!$AA$408:$AB$411</definedName>
    <definedName name="RW">'Armeebogen'!$Y$416:$Z$420</definedName>
    <definedName name="RWKaval">'Armeebogen'!$AA$416:$AB$421</definedName>
    <definedName name="RWKavallerie">'Armeebogen'!$AA$416:$AB$420</definedName>
    <definedName name="Waffen">'Armeebogen'!$X$453:$AB$460</definedName>
  </definedNames>
  <calcPr fullCalcOnLoad="1"/>
</workbook>
</file>

<file path=xl/sharedStrings.xml><?xml version="1.0" encoding="utf-8"?>
<sst xmlns="http://schemas.openxmlformats.org/spreadsheetml/2006/main" count="1137" uniqueCount="414">
  <si>
    <t>7+, Thorgrim + Einheit TW immer wiederholen</t>
  </si>
  <si>
    <t>rüstung, Runenamboß, Meister des alten Wissens</t>
  </si>
  <si>
    <r>
      <t xml:space="preserve">Magieresistenz (3) </t>
    </r>
    <r>
      <rPr>
        <sz val="10"/>
        <rFont val="Arial"/>
        <family val="0"/>
      </rPr>
      <t>+3 RW geg. Mag. Schaden; kann</t>
    </r>
  </si>
  <si>
    <t>Runenhammer Klad Braback, Thoreks Runen-</t>
  </si>
  <si>
    <t>Erbfeindschaft, Unerschütterlich, Runenwissen,</t>
  </si>
  <si>
    <t>Rüstungsbrechend, Schmidegehilfe Kraggi</t>
  </si>
  <si>
    <t>Magische Waffe: kein RW, ein LP-Verlust alle mag.Rüst.weg</t>
  </si>
  <si>
    <t>Magische Rüstung: RW=+1; Bonus 1 beim Zaubern</t>
  </si>
  <si>
    <t>Bannwürfel kanalisieren; pro Zug einen Würfel beim Zaubern</t>
  </si>
  <si>
    <t>wiederholen, dieser 1=Kraggi weg + Thorek 1 Treffer S=10,</t>
  </si>
  <si>
    <t>unerschütterlich, rüstungsbrechend, nicht angreifbar</t>
  </si>
  <si>
    <t>Schildträger, Traditionelle Armee, König Wehrstadt</t>
  </si>
  <si>
    <t xml:space="preserve">Sein MW bis 18 Zoll, Betrachtung f. Einheit Wiederholen </t>
  </si>
  <si>
    <t>Aufriebstest bis 12 Zoll, Runen: Bei Treffer magische  Waffe</t>
  </si>
  <si>
    <t>zerstört, Wiederho. verpatzte Trefferwürfe vorher not. Modell</t>
  </si>
  <si>
    <t xml:space="preserve">Slayerkönig Ungrim </t>
  </si>
  <si>
    <t>Fyskarsmantel, Dargos Axt, Slayerkrone</t>
  </si>
  <si>
    <t xml:space="preserve">Bei Verlust durch Nahkampfattacke oder Niedertrampeln </t>
  </si>
  <si>
    <r>
      <t xml:space="preserve">Slayer, unerschütterlich, Slayerkönig </t>
    </r>
    <r>
      <rPr>
        <sz val="10"/>
        <rFont val="Arial"/>
        <family val="0"/>
      </rPr>
      <t>magische Waffe</t>
    </r>
  </si>
  <si>
    <t>S=+2, Todestoß, magische Rüstung RW=+1, Ret 2+ gegen</t>
  </si>
  <si>
    <t>Flammenattacken, kann General sein, dann 1 Einh. Slayer</t>
  </si>
  <si>
    <t>sofort weitere Attacke, mit allen Boni und Sonderregeln</t>
  </si>
  <si>
    <t>Runenstandarte bis 100 P, kann nur Slayern anschließen;</t>
  </si>
  <si>
    <t>Erbfeindschaft, Entschlossen, Resolut, Unnachgie.</t>
  </si>
  <si>
    <t>TW vorher notiertes Modell; Jeder Schaden Gegner W ≥6</t>
  </si>
  <si>
    <t>= W6 Schaden; Verlorene LP Gegner zählen  x2 KE</t>
  </si>
  <si>
    <t>Hammer von Karak Azul, Rüstung des Königs von</t>
  </si>
  <si>
    <r>
      <t xml:space="preserve">Karak Azul, Donnerhorn </t>
    </r>
    <r>
      <rPr>
        <sz val="10"/>
        <rFont val="Arial"/>
        <family val="0"/>
      </rPr>
      <t>Runen: Verlust 1 LP = tot;</t>
    </r>
  </si>
  <si>
    <t>Gegner W≥5 -&gt; S*2; Wiederh. verpatz. RW;1x MW-Test Geg.</t>
  </si>
  <si>
    <t>Axt der Vergeltung, Hrappi-klad, Kurgaz Schild</t>
  </si>
  <si>
    <t>Adlerhelm, Karak Ghirn´s Buch des Grolls,</t>
  </si>
  <si>
    <r>
      <t xml:space="preserve">würfel =+1 </t>
    </r>
    <r>
      <rPr>
        <b/>
        <sz val="11"/>
        <rFont val="Arial"/>
        <family val="0"/>
      </rPr>
      <t>Runen schlagen</t>
    </r>
    <r>
      <rPr>
        <sz val="10"/>
        <rFont val="Arial"/>
        <family val="0"/>
      </rPr>
      <t xml:space="preserve"> wenn nicht bewegt, angebo.</t>
    </r>
  </si>
  <si>
    <t>gebundene Zauber = immer zaubern, kein Bonus Magiestufe</t>
  </si>
  <si>
    <r>
      <t xml:space="preserve">etc. nie verlieren </t>
    </r>
    <r>
      <rPr>
        <b/>
        <sz val="10"/>
        <rFont val="Arial"/>
        <family val="2"/>
      </rPr>
      <t>Rune von Heim &amp; Herd</t>
    </r>
    <r>
      <rPr>
        <sz val="10"/>
        <rFont val="Arial"/>
        <family val="0"/>
      </rPr>
      <t xml:space="preserve"> Unterstützungsz.</t>
    </r>
  </si>
  <si>
    <r>
      <t>Rune von Eid &amp; Stahl</t>
    </r>
    <r>
      <rPr>
        <sz val="10"/>
        <rFont val="Arial"/>
        <family val="0"/>
      </rPr>
      <t xml:space="preserve"> Unterstützungszauber Energiestufe 4</t>
    </r>
  </si>
  <si>
    <r>
      <t xml:space="preserve">1 Einh. RW=+1 (max. 1+) </t>
    </r>
    <r>
      <rPr>
        <b/>
        <sz val="10"/>
        <rFont val="Arial"/>
        <family val="2"/>
      </rPr>
      <t>Rune von Zorn &amp; Zerstörung</t>
    </r>
  </si>
  <si>
    <t>Direktschadenszauber, Energiestufe 5, ≤ 24" 2W6 Tr. S=4</t>
  </si>
  <si>
    <t>Erbfeindschaft, Entschlossen, Resolut, Bugmans</t>
  </si>
  <si>
    <t>Kumpane, Kundschafter, Flüssige Stärkung, Mut</t>
  </si>
  <si>
    <t>antrinken, die gute Alte, Bugmans Bierkrug</t>
  </si>
  <si>
    <t>Bugman + Einh immun Angst/Entsetzen; Beginn eig. Zug</t>
  </si>
  <si>
    <t>2W6: 1-2 Einheit brennbar, 3-9 Einheit unnachgiebig, 10-12</t>
  </si>
  <si>
    <t>Wenn Bugmans Kumpane, muß Bugman sich anschließen;</t>
  </si>
  <si>
    <t>Einheit W=+1; Bugman magische Waffe; Bugman oder Cha.</t>
  </si>
  <si>
    <t>Beginn eig. Zug W3 LP zurück, nicht mehr als Profil</t>
  </si>
  <si>
    <t>"Bleibt in Deckung, Herr!", Meister Zielgenauigkeit</t>
  </si>
  <si>
    <r>
      <t xml:space="preserve">Artilleriewürfel wiederholen </t>
    </r>
    <r>
      <rPr>
        <b/>
        <sz val="10"/>
        <rFont val="Arial"/>
        <family val="2"/>
      </rPr>
      <t>oder</t>
    </r>
    <r>
      <rPr>
        <sz val="10"/>
        <rFont val="Arial"/>
        <family val="0"/>
      </rPr>
      <t xml:space="preserve"> Einh darf TW wiederholen</t>
    </r>
  </si>
  <si>
    <t>Energiestufe 3, alle eig, Einh ≤ 24" immun Psychologie</t>
  </si>
  <si>
    <r>
      <t>Personifizierte Rache</t>
    </r>
    <r>
      <rPr>
        <sz val="11"/>
        <rFont val="Arial"/>
        <family val="0"/>
      </rPr>
      <t xml:space="preserve"> </t>
    </r>
    <r>
      <rPr>
        <sz val="10"/>
        <rFont val="Arial"/>
        <family val="0"/>
      </rPr>
      <t>1x pro Spiel A*2; magische Waffe</t>
    </r>
  </si>
  <si>
    <t>ASF, VW=+1; magische Rüstung: Ret, Immun (Heldenhafter)</t>
  </si>
  <si>
    <t xml:space="preserve">Grimnirs Axt, Skaldors Rüstung, Drachenkrone von </t>
  </si>
  <si>
    <t>Karaz, Das Große Buch des Grolls, Runenthron</t>
  </si>
  <si>
    <t>Hochkönig, Erbfeindschaft, Entschlossen, Resolut</t>
  </si>
  <si>
    <t>Magische Waffe, ASF, VW immer 2+. Bei mag Rüstung 3+.</t>
  </si>
  <si>
    <t>gegen Riesen Multiple LP (W6); Magische Rüstung, Ret=2+</t>
  </si>
  <si>
    <t>geg. (Heldenhafter) Todesstoß + Multiple LP; Thorgrim +Einh.</t>
  </si>
  <si>
    <t>immun Psychologie + unnachgiebig; Inspierende Gegenwart</t>
  </si>
  <si>
    <t>18", kein Achtung Sir; Immer Armeegeneral, wenn tot alle</t>
  </si>
  <si>
    <t>Zwerge Raserei; Bonus Wurf Erbfeindschaft =+3, Ergebnis</t>
  </si>
  <si>
    <t>wiederholen, dieser nicht weiterspringen (Flammen-)+Kanone</t>
  </si>
  <si>
    <t>dann nicht eigene Waffe abfeuern</t>
  </si>
  <si>
    <t>Erbfeindschaft, Entschlossen,Resolut,Letzter Hieb</t>
  </si>
  <si>
    <t xml:space="preserve">TW immer 4+ oder besser: kann Beginn jedes Nahkampfes </t>
  </si>
  <si>
    <t>2 HW oder ZW wählen; Bei Verlust durch Nahkampfattacke</t>
  </si>
  <si>
    <t>und Sonderregeln</t>
  </si>
  <si>
    <t xml:space="preserve">oder Niedertrampeln sofort weitere Attacke, mit allen Boni </t>
  </si>
  <si>
    <t>und Sonderregeln; nie General, nur Slayern anschließen</t>
  </si>
  <si>
    <r>
      <t xml:space="preserve">Drachenslayer </t>
    </r>
    <r>
      <rPr>
        <sz val="10"/>
        <rFont val="Arial"/>
        <family val="0"/>
      </rPr>
      <t>gegen Monster Multiple LP (W3)</t>
    </r>
  </si>
  <si>
    <r>
      <t xml:space="preserve">Dämonenslayer </t>
    </r>
    <r>
      <rPr>
        <sz val="10"/>
        <rFont val="Arial"/>
        <family val="0"/>
      </rPr>
      <t>Gegner alle erfolgreichen Ret wiederholen</t>
    </r>
  </si>
  <si>
    <r>
      <t xml:space="preserve">Magieresistenz (2) </t>
    </r>
    <r>
      <rPr>
        <sz val="10"/>
        <rFont val="Arial"/>
        <family val="0"/>
      </rPr>
      <t>+2 RW geg. Mag. Schaden; kann</t>
    </r>
  </si>
  <si>
    <r>
      <t>Runenamboß</t>
    </r>
    <r>
      <rPr>
        <sz val="10"/>
        <rFont val="Arial"/>
        <family val="0"/>
      </rPr>
      <t xml:space="preserve"> Gesamt LP=5; Kriegsmschine, unerschütter.</t>
    </r>
  </si>
  <si>
    <r>
      <t>Schild der Ahnen</t>
    </r>
    <r>
      <rPr>
        <sz val="10"/>
        <rFont val="Arial"/>
        <family val="0"/>
      </rPr>
      <t xml:space="preserve"> Ret </t>
    </r>
    <r>
      <rPr>
        <b/>
        <sz val="11"/>
        <rFont val="Arial"/>
        <family val="0"/>
      </rPr>
      <t>Gefäß der Macht</t>
    </r>
    <r>
      <rPr>
        <sz val="10"/>
        <rFont val="Arial"/>
        <family val="0"/>
      </rPr>
      <t xml:space="preserve"> Bann+Energie-</t>
    </r>
  </si>
  <si>
    <t>W3 Schaden,3 Zoll-Schabl.,indirektes Schießen</t>
  </si>
  <si>
    <t>Orgelkanone</t>
  </si>
  <si>
    <t>Flammenkanone</t>
  </si>
  <si>
    <t>Wurf wiederholbar, wenn keine Fehlfunktion</t>
  </si>
  <si>
    <r>
      <t xml:space="preserve">Alte Grummler, Immun Psychologie </t>
    </r>
    <r>
      <rPr>
        <sz val="10"/>
        <rFont val="Arial"/>
        <family val="0"/>
      </rPr>
      <t>wenn Langbärte</t>
    </r>
  </si>
  <si>
    <t>nicht fliehen, jede Einheit ≤ 6" Paniktest wiederholen</t>
  </si>
  <si>
    <t>Slayer Assistent</t>
  </si>
  <si>
    <t>Seltene Einheit</t>
  </si>
  <si>
    <t>sonstige Runen</t>
  </si>
  <si>
    <t>Standartenrunen Imperium</t>
  </si>
  <si>
    <t>König Alrik</t>
  </si>
  <si>
    <t>RH</t>
  </si>
  <si>
    <t>Roßharnisch</t>
  </si>
  <si>
    <r>
      <t xml:space="preserve">Kartätsche: </t>
    </r>
    <r>
      <rPr>
        <sz val="10"/>
        <rFont val="Arial"/>
        <family val="0"/>
      </rPr>
      <t>S=5, rüstungsbr. Anzahl Treffer=Artill.Wü.</t>
    </r>
  </si>
  <si>
    <r>
      <t xml:space="preserve">Erbfeindschaft, Unnachgiebig </t>
    </r>
    <r>
      <rPr>
        <sz val="10"/>
        <rFont val="Arial"/>
        <family val="0"/>
      </rPr>
      <t>S=10, Multiple LP (W6)</t>
    </r>
  </si>
  <si>
    <r>
      <t xml:space="preserve">Erbfeindschaft, Unnachgiebig </t>
    </r>
    <r>
      <rPr>
        <sz val="10"/>
        <rFont val="Arial"/>
        <family val="0"/>
      </rPr>
      <t>Trefferwurf BF, Stärke</t>
    </r>
  </si>
  <si>
    <t>6-1(-1 je Glied), Multiple LP (W3), kein RW</t>
  </si>
  <si>
    <t>Der Hammer von Angrund, Schild des Trotzes</t>
  </si>
  <si>
    <t>4(8)</t>
  </si>
  <si>
    <r>
      <t xml:space="preserve">zwergengefertigt = no Malus Steh. &amp; Schieße, </t>
    </r>
    <r>
      <rPr>
        <b/>
        <sz val="10"/>
        <rFont val="Arial"/>
        <family val="2"/>
      </rPr>
      <t>Nahkampf</t>
    </r>
  </si>
  <si>
    <t>rüstungsbrechend, bei Treffer W6=&gt; 5+ mag. Waffe weg</t>
  </si>
  <si>
    <r>
      <t xml:space="preserve">≤ 3" KM "Achtung Sir; </t>
    </r>
    <r>
      <rPr>
        <b/>
        <sz val="10"/>
        <rFont val="Arial"/>
        <family val="2"/>
      </rPr>
      <t>auf 2+</t>
    </r>
    <r>
      <rPr>
        <sz val="10"/>
        <rFont val="Arial"/>
        <family val="0"/>
      </rPr>
      <t>: ≤ 3" KM BF nutzen od. jeden</t>
    </r>
  </si>
  <si>
    <t>Burlock Damminson</t>
  </si>
  <si>
    <t>Runen: Hammer: S=10 und Flammenattaken, Wiederholung</t>
  </si>
  <si>
    <t>verpatz. RW; +1 Bannwürfel bei Attacken gegen Kragg oder</t>
  </si>
  <si>
    <t xml:space="preserve">seine Einheit; immun g. Flammenattacken, kann zwei </t>
  </si>
  <si>
    <t>Zaubersprüche bannen, 1 Würfel aus Energiepool in Bannpool</t>
  </si>
  <si>
    <t xml:space="preserve">Runen: schlägt mit Axt immer zuerst zu, Hammer: Stärke 7; </t>
  </si>
  <si>
    <t>Maschinist, +1 auf alle Fehlfunktionswürfe Kriegsmaschinen</t>
  </si>
  <si>
    <t>Runen:  Verwundung immer bei 2+, entsp. S,Wiederh. Verpa.</t>
  </si>
  <si>
    <t>Rü = Rüstung:   - / L / S / G</t>
  </si>
  <si>
    <t>Rü</t>
  </si>
  <si>
    <t>Ret</t>
  </si>
  <si>
    <t>Sch</t>
  </si>
  <si>
    <t>König</t>
  </si>
  <si>
    <t>Kartätsche</t>
  </si>
  <si>
    <t>12-60</t>
  </si>
  <si>
    <t>[3(9)]</t>
  </si>
  <si>
    <r>
      <t xml:space="preserve">Slayer </t>
    </r>
    <r>
      <rPr>
        <sz val="10"/>
        <rFont val="Arial"/>
        <family val="0"/>
      </rPr>
      <t>(S = W Gegner, max. 6)</t>
    </r>
    <r>
      <rPr>
        <b/>
        <sz val="11"/>
        <rFont val="Arial"/>
        <family val="0"/>
      </rPr>
      <t>, unerschüt-</t>
    </r>
  </si>
  <si>
    <t>bes. Charakter Held</t>
  </si>
  <si>
    <t>Rüstung</t>
  </si>
  <si>
    <t>L</t>
  </si>
  <si>
    <t>G</t>
  </si>
  <si>
    <t>Drachenslayer</t>
  </si>
  <si>
    <t>Klankrieger</t>
  </si>
  <si>
    <t>Anzahl Besatzung Kriegsmaschinen</t>
  </si>
  <si>
    <t>2+</t>
  </si>
  <si>
    <t xml:space="preserve">Warhammer Armeeliste          </t>
  </si>
  <si>
    <t>Bergwerker</t>
  </si>
  <si>
    <t>7(8)</t>
  </si>
  <si>
    <t>5(6)</t>
  </si>
  <si>
    <t>4(5)</t>
  </si>
  <si>
    <t>3(4)</t>
  </si>
  <si>
    <t>Runenmeister Kragg</t>
  </si>
  <si>
    <t>2(3)</t>
  </si>
  <si>
    <t>Kraggs Runenhammer, Kraggs Runen-</t>
  </si>
  <si>
    <t>rüstung, Kraggs Runenstab</t>
  </si>
  <si>
    <t>Wir gehen runter! Fehlfunktion, Alle Mann auf</t>
  </si>
  <si>
    <t>Zwischespalte für RW</t>
  </si>
  <si>
    <t>Punkte Kerneinheiten</t>
  </si>
  <si>
    <t>Punkte Eliteeinheiten</t>
  </si>
  <si>
    <t>Punkte seltenen Einheiten</t>
  </si>
  <si>
    <t>Punkte Helden</t>
  </si>
  <si>
    <t>Punkte Kommandanten</t>
  </si>
  <si>
    <t>solange Gotrek lebt; Bonusattacken für jeden</t>
  </si>
  <si>
    <t xml:space="preserve">Maschinist, Zwergenbündelmuskete = </t>
  </si>
  <si>
    <t>Gyrokopter</t>
  </si>
  <si>
    <t>Mu</t>
  </si>
  <si>
    <t>St</t>
  </si>
  <si>
    <t>Grollbart</t>
  </si>
  <si>
    <t>-</t>
  </si>
  <si>
    <t>Piratenslayer</t>
  </si>
  <si>
    <t>Long Drong</t>
  </si>
  <si>
    <t>B</t>
  </si>
  <si>
    <t>W</t>
  </si>
  <si>
    <t>Anz.</t>
  </si>
  <si>
    <r>
      <t xml:space="preserve">terlich, viele Pistolen </t>
    </r>
    <r>
      <rPr>
        <sz val="10"/>
        <rFont val="Arial"/>
        <family val="0"/>
      </rPr>
      <t>(A=zwei rüstungsb. Schüsse)</t>
    </r>
  </si>
  <si>
    <t>Eisenstirn</t>
  </si>
  <si>
    <t>4(7)</t>
  </si>
  <si>
    <t>Anzahl Krieger</t>
  </si>
  <si>
    <t>3+</t>
  </si>
  <si>
    <t>1+</t>
  </si>
  <si>
    <t>Thronträger</t>
  </si>
  <si>
    <t>Armeestandarte</t>
  </si>
  <si>
    <t>Eisenbart</t>
  </si>
  <si>
    <t>oder Zwergenmuskete</t>
  </si>
  <si>
    <t>Sch = Schild:  - / 1</t>
  </si>
  <si>
    <t>Waldläufer</t>
  </si>
  <si>
    <t>Standartenrunen</t>
  </si>
  <si>
    <t>Eingabefelder</t>
  </si>
  <si>
    <t>Runenamboß</t>
  </si>
  <si>
    <t>Zeppelin</t>
  </si>
  <si>
    <t>Unerschütterlich, Großes Ziel,  Schweben</t>
  </si>
  <si>
    <t>Bombardement</t>
  </si>
  <si>
    <t>[3(6)]</t>
  </si>
  <si>
    <t>3-12</t>
  </si>
  <si>
    <t>Anzahl Speerschleudern</t>
  </si>
  <si>
    <r>
      <t xml:space="preserve">oder </t>
    </r>
    <r>
      <rPr>
        <sz val="10"/>
        <rFont val="Arial"/>
        <family val="0"/>
      </rPr>
      <t xml:space="preserve">Armbrust oder Muskete Reichweite = +2W6; </t>
    </r>
    <r>
      <rPr>
        <b/>
        <sz val="10"/>
        <rFont val="Arial"/>
        <family val="2"/>
      </rPr>
      <t>dann</t>
    </r>
  </si>
  <si>
    <t>nicht eigene Waffe abfeuern, aber bei 1 abfeuern ok.</t>
  </si>
  <si>
    <r>
      <t>Grollharke</t>
    </r>
    <r>
      <rPr>
        <sz val="10"/>
        <rFont val="Arial"/>
        <family val="0"/>
      </rPr>
      <t xml:space="preserve"> 18" S=4, Mehrfache Schüße 2W3, rüstungsbr.</t>
    </r>
  </si>
  <si>
    <t>zu allen Seiten parieren, immer Herausf. annehmen</t>
  </si>
  <si>
    <t>Schildträger: +2 LP &amp; +2 RW; Schildträger nie attack.</t>
  </si>
  <si>
    <t>werden, König immer noch Achtung Sir, Infanterie</t>
  </si>
  <si>
    <t>Runenwissen, Rüstungsbrechend, Schmiedefeuer</t>
  </si>
  <si>
    <r>
      <t xml:space="preserve">Magieresistenz (1) </t>
    </r>
    <r>
      <rPr>
        <sz val="10"/>
        <rFont val="Arial"/>
        <family val="0"/>
      </rPr>
      <t>+1 RW geg. Mag. Schaden; kann</t>
    </r>
  </si>
  <si>
    <t>Bannwürfel kanalisieren; eigene Einheit rüstungsbrechend</t>
  </si>
  <si>
    <t>Erbfeindschaft, Entschlossen, Resolut, Befestigen</t>
  </si>
  <si>
    <t>Geschützmeister, "Bleibt in Deckung, Herr!"</t>
  </si>
  <si>
    <t>1 KM befestigen: harte Deckung, Gegn. TW=-1, bei Bew.weg</t>
  </si>
  <si>
    <t>≤ 3" KM "Achtung Sir; ≤ 3" KM BF nutzen oder Artilleriewürf.</t>
  </si>
  <si>
    <t>Sonstige</t>
  </si>
  <si>
    <t>Seltene Einheit Artillerie</t>
  </si>
  <si>
    <t>Reich</t>
  </si>
  <si>
    <t>Meistermaschinist</t>
  </si>
  <si>
    <t>Burlocks Hammer, Burlocks Rüstung</t>
  </si>
  <si>
    <t>RU</t>
  </si>
  <si>
    <t>Handwaffe</t>
  </si>
  <si>
    <t>Slayerfertigkeiten Drachenslayer</t>
  </si>
  <si>
    <t>Riesenslayer</t>
  </si>
  <si>
    <t>Artillerie Elite</t>
  </si>
  <si>
    <t>Plänkler, Erbfeindschaft, Entschlossen</t>
  </si>
  <si>
    <t>Starrsinning, unerschütterlich, Einzelgänger</t>
  </si>
  <si>
    <t>(4+)</t>
  </si>
  <si>
    <t>Ret = Rettungswurf</t>
  </si>
  <si>
    <t>Armbrustschützen</t>
  </si>
  <si>
    <t>6+</t>
  </si>
  <si>
    <t>Erbfeindschaft, Entschlossen, Resolut</t>
  </si>
  <si>
    <r>
      <t>Schmiedefeste Gomrilrüstung</t>
    </r>
    <r>
      <rPr>
        <sz val="10"/>
        <rFont val="Arial"/>
        <family val="0"/>
      </rPr>
      <t xml:space="preserve">: RW=4+, Ret=6+, </t>
    </r>
  </si>
  <si>
    <t>keine weitere Waffe</t>
  </si>
  <si>
    <t>Fehlfu.: 1: Schablone Werfer; 2+ nichts</t>
  </si>
  <si>
    <t xml:space="preserve">S=3(6); rüstungsbrechend, LP = W3 unter Loch </t>
  </si>
  <si>
    <t>Zwergengranaten wie Steinschl. 2-8", 3" Schablone</t>
  </si>
  <si>
    <t>schußb., multi. Sch 2, Flammenatt., zwergengefertigt</t>
  </si>
  <si>
    <t xml:space="preserve">kein Malus Bew. Immer Ste.&amp; Sch.; zwergengefertigt: </t>
  </si>
  <si>
    <t>BF</t>
  </si>
  <si>
    <t>LP</t>
  </si>
  <si>
    <t>I</t>
  </si>
  <si>
    <t>A</t>
  </si>
  <si>
    <t>MW</t>
  </si>
  <si>
    <t>[4]</t>
  </si>
  <si>
    <t>Hochkönig Thorgrim</t>
  </si>
  <si>
    <t>König Kazador</t>
  </si>
  <si>
    <t>Josef Bugman</t>
  </si>
  <si>
    <t>Gargarim Eisenfaust</t>
  </si>
  <si>
    <t>,-3 auf RW, Treffer mittels Artilleriewürfel</t>
  </si>
  <si>
    <t>Veteran</t>
  </si>
  <si>
    <t>Musketenschützen</t>
  </si>
  <si>
    <t>Mu = Musiker:  - / 1 / 2 / 3</t>
  </si>
  <si>
    <t>ja nach Anzahl Regimenter</t>
  </si>
  <si>
    <t>P</t>
  </si>
  <si>
    <t>Äxte von Kadrin, Baraz-Rik, Slayer</t>
  </si>
  <si>
    <t>RW Kavallerie</t>
  </si>
  <si>
    <t>Summe:</t>
  </si>
  <si>
    <t>Volk: glorreiche Dawi</t>
  </si>
  <si>
    <t>1(2)</t>
  </si>
  <si>
    <t>Hass = muss Trefferwürfe 1 Nahkampfrunde 1x wiederholen</t>
  </si>
  <si>
    <t>im Nahkampf  RW = -1 bei Zweihandwaffe und Schild</t>
  </si>
  <si>
    <t>[6(x)]</t>
  </si>
  <si>
    <r>
      <t xml:space="preserve">Erbfeindschaft, Unnachgiebig </t>
    </r>
    <r>
      <rPr>
        <sz val="10"/>
        <rFont val="Arial"/>
        <family val="0"/>
      </rPr>
      <t>3" Schablone,Abweich.</t>
    </r>
  </si>
  <si>
    <t xml:space="preserve">S=3(9), Loch Multiple LP (W6); indirekted Schießen: Bei </t>
  </si>
  <si>
    <t>Treffer Abweichung -BF Besatzung, Pfeil Treffersymbol</t>
  </si>
  <si>
    <t>Bugmans Kumpane</t>
  </si>
  <si>
    <t>Grimm Burloksson</t>
  </si>
  <si>
    <t>6(7)</t>
  </si>
  <si>
    <r>
      <rPr>
        <b/>
        <sz val="11"/>
        <rFont val="Arial"/>
        <family val="0"/>
      </rPr>
      <t>Armeestandarte</t>
    </r>
    <r>
      <rPr>
        <b/>
        <sz val="12"/>
        <rFont val="Arial"/>
        <family val="0"/>
      </rPr>
      <t xml:space="preserve"> </t>
    </r>
    <r>
      <rPr>
        <sz val="10"/>
        <rFont val="Arial"/>
        <family val="0"/>
      </rPr>
      <t>(≤ 12 Zoll Moralwerttest wiederholen)</t>
    </r>
  </si>
  <si>
    <t>das ist nicht freiwillig! KE=+1</t>
  </si>
  <si>
    <t>Zwergenpistole 12", S=4, rüstungsbr, schnell</t>
  </si>
  <si>
    <t>rüstungsbr., zwergengefertigt= no Malus Steh&amp;Schieß.</t>
  </si>
  <si>
    <t>Keine weitere Ausrüstung</t>
  </si>
  <si>
    <t>Eidstein: nie fliehen, nie bedrängt (Flanke o. Rücken)</t>
  </si>
  <si>
    <t>Zweihandwaffe, Schild</t>
  </si>
  <si>
    <t>Runenschmied</t>
  </si>
  <si>
    <t>Rettungs- und Rüstungswürfe</t>
  </si>
  <si>
    <t>Mit Runen - magisches Geschoß</t>
  </si>
  <si>
    <t>2+ Ret bei Beschuß, auch magisch</t>
  </si>
  <si>
    <t>Treffer = W3 pro Glied,-2 auf RW</t>
  </si>
  <si>
    <t>H = Handwaffe:   - / 1 / 2</t>
  </si>
  <si>
    <t>ZW= Zweihandwaffe:  - / 1</t>
  </si>
  <si>
    <t>keine andere Waffe</t>
  </si>
  <si>
    <t>Reich = Reichweite in Zoll</t>
  </si>
  <si>
    <t>Ranulfsson</t>
  </si>
  <si>
    <t>KG</t>
  </si>
  <si>
    <t>Burlocks inkorporierter Constrictorarm</t>
  </si>
  <si>
    <t>Gotreks Runenaxt, Slayer, Gotreks Schicksal</t>
  </si>
  <si>
    <r>
      <t xml:space="preserve">Kundschafter </t>
    </r>
    <r>
      <rPr>
        <sz val="10"/>
        <rFont val="Arial"/>
        <family val="0"/>
      </rPr>
      <t>Zone oder ≤12" Gegner, dann kein Angriff</t>
    </r>
  </si>
  <si>
    <r>
      <t xml:space="preserve">Zwergenarmbrust </t>
    </r>
    <r>
      <rPr>
        <sz val="10"/>
        <rFont val="Arial"/>
        <family val="0"/>
      </rPr>
      <t>30", S=4, Bewegen oder Schießen,</t>
    </r>
  </si>
  <si>
    <t>Erbfeindschaft, Entschlossen, Resolut, Schildwall</t>
  </si>
  <si>
    <r>
      <t xml:space="preserve">Zwergenmuskete </t>
    </r>
    <r>
      <rPr>
        <sz val="10"/>
        <rFont val="Arial"/>
        <family val="0"/>
      </rPr>
      <t>24", S=4, Bewegen oder Schießen,</t>
    </r>
  </si>
  <si>
    <t>mmer Ste.&amp; Sch.; zwergengefertigt = no Malus Ste.&amp;Sch.</t>
  </si>
  <si>
    <t>Multiple Schüße (4)</t>
  </si>
  <si>
    <t>Aufwertung Gyrokopter</t>
  </si>
  <si>
    <t>keine Vorhut</t>
  </si>
  <si>
    <t>[5] = Stärke der Treffer durch Artillerie</t>
  </si>
  <si>
    <t>[5]</t>
  </si>
  <si>
    <t>[10]</t>
  </si>
  <si>
    <t>Geg. Drachen: Wiederh. Treffer- + Schadensw.</t>
  </si>
  <si>
    <t>Eidstein</t>
  </si>
  <si>
    <t>glorreiche Dawi (8. Edition Warhammer, Armeebuch 2014)</t>
  </si>
  <si>
    <t>bes. Charakter ältere Bücher</t>
  </si>
  <si>
    <t>bes. Charakter Kom</t>
  </si>
  <si>
    <t>Eisenhammer</t>
  </si>
  <si>
    <t xml:space="preserve">König Belegar </t>
  </si>
  <si>
    <t>Eisenfaust</t>
  </si>
  <si>
    <t>mehrfache Schüsse: 3, Slayer</t>
  </si>
  <si>
    <t>Kommandant</t>
  </si>
  <si>
    <t>Thain</t>
  </si>
  <si>
    <t>Anzahl Helden, Kriegsmaschinen und Regimenter</t>
  </si>
  <si>
    <t>Grenzläufer</t>
  </si>
  <si>
    <t>Prospektor</t>
  </si>
  <si>
    <t>Hammerträger</t>
  </si>
  <si>
    <t>Hüter des Tores</t>
  </si>
  <si>
    <t>Silberbart</t>
  </si>
  <si>
    <t>Panik, normaler Schuß Flammenwerfer: Flammenschablone</t>
  </si>
  <si>
    <t>an Mündung, Artilleriewürfel = Zoll Schablone vor, Fehlfunk.</t>
  </si>
  <si>
    <t>Schwarzpuler; Flammenstoß = Spot bis 12", Artilleriewürfel</t>
  </si>
  <si>
    <t>dann Schablone, bei Fehlfunktion Tabelle = -1</t>
  </si>
  <si>
    <t>Besatzung Speerschleudern</t>
  </si>
  <si>
    <t>Trollslayer</t>
  </si>
  <si>
    <t>Grollschleuder</t>
  </si>
  <si>
    <t>St = Standarte:  - / 1 / 2 / 3</t>
  </si>
  <si>
    <t>der Grimmige</t>
  </si>
  <si>
    <t>Speerschleuder</t>
  </si>
  <si>
    <t>Rüstung Kavallerie</t>
  </si>
  <si>
    <t>Slayerfertigkeiten Dämonenslayer</t>
  </si>
  <si>
    <t>Bestienslayer, Slayertod, Vampirslayer</t>
  </si>
  <si>
    <t>von Karak Azul</t>
  </si>
  <si>
    <t xml:space="preserve">Punktzahl: </t>
  </si>
  <si>
    <t>Bannwürfel:</t>
  </si>
  <si>
    <t>RW = Rüstungswurf bei Beschuß:</t>
  </si>
  <si>
    <t>Gotrek Gurnisson</t>
  </si>
  <si>
    <t>Felix Jäger</t>
  </si>
  <si>
    <t>Waffenrunen</t>
  </si>
  <si>
    <t>Schildträger</t>
  </si>
  <si>
    <t>Zwergenmuskete = +1 Trefferwurf</t>
  </si>
  <si>
    <t>Runenmeister</t>
  </si>
  <si>
    <t>4+</t>
  </si>
  <si>
    <t>Ambosswache</t>
  </si>
  <si>
    <t>5+</t>
  </si>
  <si>
    <t>Langbärte</t>
  </si>
  <si>
    <t>H</t>
  </si>
  <si>
    <t>ZW</t>
  </si>
  <si>
    <t xml:space="preserve">Hass auf Grünhäute, verfolgen u. fliehen 2W6-1, immer </t>
  </si>
  <si>
    <t>marschieren, S = W Gegner, kein Maximum!</t>
  </si>
  <si>
    <t>Armee: Dawi Strafexpedition gegen die Grünhäute - Hass</t>
  </si>
  <si>
    <t>Slayer, unerschütterlich</t>
  </si>
  <si>
    <t>Besatzung:</t>
  </si>
  <si>
    <t>S</t>
  </si>
  <si>
    <t>RU = Punktezahl verwendeter Runen</t>
  </si>
  <si>
    <t>Zusätzlich: Armbrust</t>
  </si>
  <si>
    <t>Goblinschnitter</t>
  </si>
  <si>
    <t>Punkte</t>
  </si>
  <si>
    <t>Eisenbrecher</t>
  </si>
  <si>
    <t>Anzahl Reiter</t>
  </si>
  <si>
    <t>5(4)</t>
  </si>
  <si>
    <t>rüstungsbr., zwergengefertigt = no Malus Stehen.&amp; Schieß.</t>
  </si>
  <si>
    <t xml:space="preserve">zwergengefertigt = no Malus Stehen.&amp; Schießen </t>
  </si>
  <si>
    <t>Waffen</t>
  </si>
  <si>
    <t>Punkte Champion</t>
  </si>
  <si>
    <t>Keine weitere Waffe</t>
  </si>
  <si>
    <t>Keine andere Waffe</t>
  </si>
  <si>
    <t>Fürsten</t>
  </si>
  <si>
    <t>Punkte Charakter</t>
  </si>
  <si>
    <t>Zwergenarmbrust: 30", S=4, Bewegen oder Schießen,</t>
  </si>
  <si>
    <r>
      <t xml:space="preserve">Einzigartig, Fliegen, Plänkler, Panzerkopter </t>
    </r>
    <r>
      <rPr>
        <sz val="10"/>
        <rFont val="Arial"/>
        <family val="0"/>
      </rPr>
      <t>(RW)</t>
    </r>
  </si>
  <si>
    <r>
      <t xml:space="preserve">Erbfeindschaft, Entschlossen, Bombenangriff </t>
    </r>
    <r>
      <rPr>
        <sz val="10"/>
        <rFont val="Arial"/>
        <family val="0"/>
      </rPr>
      <t>in</t>
    </r>
  </si>
  <si>
    <t>restl. Bew. über Einheit nicht im Nahk. 5" Schablone,</t>
  </si>
  <si>
    <t>Abweichen, S= 3(6), rüstungsbr. multiple Wunden W3,</t>
  </si>
  <si>
    <t>dann W6 bei 4+ 5" Schablone, Abweichen Schaden gleich</t>
  </si>
  <si>
    <r>
      <t xml:space="preserve">4-6 = Treffer nur Model unter Loch S=4 </t>
    </r>
    <r>
      <rPr>
        <b/>
        <sz val="11"/>
        <rFont val="Arial"/>
        <family val="0"/>
      </rPr>
      <t>Ratterkanone</t>
    </r>
  </si>
  <si>
    <t xml:space="preserve"> 24" S=4, rüstbr. Schnell schußbereit=kein Malus Bew. I</t>
  </si>
  <si>
    <t>Malakai Makaisson</t>
  </si>
  <si>
    <t>RW</t>
  </si>
  <si>
    <t xml:space="preserve">Runen: Magieresistenz (2) + Ret, gilt für beide, </t>
  </si>
  <si>
    <t>Charakter, Schnelle Bronzeklinge, Plänkler</t>
  </si>
  <si>
    <t>3(5)</t>
  </si>
  <si>
    <t>Treffer; kein RW; Gegner W ≥5 = 2 LP Schaden</t>
  </si>
  <si>
    <t>Kanone</t>
  </si>
  <si>
    <t>Ab hier keine Zeilen mehr löschen!!!</t>
  </si>
  <si>
    <t>Runenmeister Thorek</t>
  </si>
  <si>
    <t>Trollhammer-Torpedo 24", S=8, W3 Wun. Flammenatt.</t>
  </si>
  <si>
    <t>langsam schußbereit = keine Ste. &amp; Sch.</t>
  </si>
  <si>
    <r>
      <t>Fehlfunktion</t>
    </r>
    <r>
      <rPr>
        <sz val="10"/>
        <rFont val="Arial"/>
        <family val="0"/>
      </rPr>
      <t xml:space="preserve"> 1= S=6 W3 Wunden; 2-3 = 3" Schablone</t>
    </r>
  </si>
  <si>
    <t xml:space="preserve">über Gyrobomber, Abweichen, keine weiterspringen; </t>
  </si>
  <si>
    <t>Gyrobomber</t>
  </si>
  <si>
    <t>Eisendrachen</t>
  </si>
  <si>
    <t>Zwergenmuskete: 24", S=4, Bewegen oder Schießen,</t>
  </si>
  <si>
    <t>schußbereit, zwergengefertigt = No Malus Ste.&amp;Schieß.</t>
  </si>
  <si>
    <t>Nahkampf: zweihändig, A=+1</t>
  </si>
  <si>
    <t>wiederholen</t>
  </si>
  <si>
    <t>Sprengladungen: 4", S=4, rüstungsbr. Flammenatt.</t>
  </si>
  <si>
    <t>Zwergenpistolenpaar: 12", S=4, rüstungsbr, schnell</t>
  </si>
  <si>
    <r>
      <t xml:space="preserve">Gefechtsstation! </t>
    </r>
    <r>
      <rPr>
        <sz val="10"/>
        <rFont val="Arial"/>
        <family val="0"/>
      </rPr>
      <t>Nur Orgelkanonen o. Bomben, bei</t>
    </r>
  </si>
  <si>
    <t>sturz 3W6 zufällig, jedes Modell u. Base Treffer S=8</t>
  </si>
  <si>
    <t>Magieresistenz (3), 40 mm Base</t>
  </si>
  <si>
    <t>Fehlfunktion zerstört Waffe unbrauchbar, - 2 LP, bei Ab-</t>
  </si>
  <si>
    <t>Gomrilrüstung = 4+ Rüstungswurf</t>
  </si>
  <si>
    <t>Dämonenslayer</t>
  </si>
  <si>
    <t>Bei Tod noch mal mit allen Attacken angreifen</t>
  </si>
  <si>
    <t>Eisenwächter</t>
  </si>
  <si>
    <r>
      <t xml:space="preserve">Drachenmusketen </t>
    </r>
    <r>
      <rPr>
        <sz val="10"/>
        <rFont val="Arial"/>
        <family val="0"/>
      </rPr>
      <t>18", S=5, schnell schussbereit =</t>
    </r>
  </si>
  <si>
    <t>no Malus Ste.&amp;Sch.; Flammenattacken, rüstungsbrechend</t>
  </si>
  <si>
    <t>Ret = 2+ geg. Flammenatt.</t>
  </si>
  <si>
    <t>Waffen Champion Eisenbrecher/Eisendrachen</t>
  </si>
  <si>
    <t>Regeln</t>
  </si>
  <si>
    <t>schußbereit, Mult. Schüße 2, zwergengefertigt</t>
  </si>
  <si>
    <r>
      <t xml:space="preserve">unnachgiebig, Königswache </t>
    </r>
    <r>
      <rPr>
        <sz val="10"/>
        <rFont val="Arial"/>
        <family val="0"/>
      </rPr>
      <t>Ist der General lebend in</t>
    </r>
  </si>
  <si>
    <t>der Einheit, kann jeder Hammerträger Herausford. Annehm.</t>
  </si>
  <si>
    <r>
      <t xml:space="preserve">Unterirdischer Vormarsch </t>
    </r>
    <r>
      <rPr>
        <sz val="10"/>
        <rFont val="Arial"/>
        <family val="0"/>
      </rPr>
      <t>Kann per Überfall aufgestellt</t>
    </r>
  </si>
  <si>
    <t>werden: bei 3+ beliebi. Kante, bei Erschei. weiche Deckung</t>
  </si>
  <si>
    <t>Dampfhammer: S=+3, ASL, zweihändig, Wurf Überfall</t>
  </si>
  <si>
    <t>schnell schußb.: kein Malus Beweg. Imm. Steh.&amp;Schieß.</t>
  </si>
  <si>
    <t>4(x)</t>
  </si>
  <si>
    <t>Erbfeindschaft, Entschlossen, Resolut, Gomril-</t>
  </si>
  <si>
    <r>
      <t xml:space="preserve">Schildwall </t>
    </r>
    <r>
      <rPr>
        <sz val="10"/>
        <rFont val="Arial"/>
        <family val="0"/>
      </rPr>
      <t>Immer Parieren 5+</t>
    </r>
  </si>
  <si>
    <t>Paar Drachenpistolen 12", S=5, rüstungsbr, schnell</t>
  </si>
  <si>
    <t>Nahkampf: zweihändig, A=+1, kein Schild</t>
  </si>
  <si>
    <t>Slayer, unerschütterlich, Slayeräxte, Slayerkult</t>
  </si>
  <si>
    <t>Vorhut = n. Kundsch. Bew=12", 1. Spielerzug k. Angriff</t>
  </si>
  <si>
    <t>Schwefelkanone: 18", S=5, rüstungsbr. Flammenatt.</t>
  </si>
  <si>
    <r>
      <t xml:space="preserve">Erbfeindschaft, Entschlossen, Bombenabwurf </t>
    </r>
    <r>
      <rPr>
        <sz val="10"/>
        <rFont val="Arial"/>
        <family val="0"/>
      </rPr>
      <t>1x</t>
    </r>
  </si>
  <si>
    <t>in restl. Bew. über Einheit nicht im Nahk., Artillerie Würfel</t>
  </si>
  <si>
    <r>
      <t xml:space="preserve">S=3, rüstungsbrechenf </t>
    </r>
    <r>
      <rPr>
        <b/>
        <sz val="11"/>
        <rFont val="Arial"/>
        <family val="0"/>
      </rPr>
      <t>Fehlfunktion</t>
    </r>
    <r>
      <rPr>
        <sz val="10"/>
        <rFont val="Arial"/>
        <family val="0"/>
      </rPr>
      <t xml:space="preserve"> LP=-1, kein RW</t>
    </r>
  </si>
  <si>
    <t>Keine Schußwaffen nach Marschieren oder Bombenabwurf</t>
  </si>
  <si>
    <t>Dampfkanone: S=3, rüstungsbr., Flammenschablone</t>
  </si>
  <si>
    <t>Mehrfache Sch. (3), schnell schußbereit, zwergengef.</t>
  </si>
  <si>
    <t>Erbfeindschaft, Unnachgiebig, Orgelfeuer</t>
  </si>
  <si>
    <t>Erbfeindschaft, Unnachgiebig, Flammenstoß</t>
  </si>
  <si>
    <t>S=5, 30", rüstungsbrechend; Anzahl = 2x Artilleriewürfel</t>
  </si>
  <si>
    <t>2x Fehlfunktion =&gt; Schwarzpulver; 1x Fehlfunktion TW=-1</t>
  </si>
  <si>
    <t>kein Malus mehrfache Schüße!</t>
  </si>
  <si>
    <t>12", S=5, Flammenattacken, Multiple LP W3, bei Treffer</t>
  </si>
  <si>
    <r>
      <t xml:space="preserve">Todesstoß </t>
    </r>
    <r>
      <rPr>
        <b/>
        <sz val="11"/>
        <rFont val="Arial"/>
        <family val="0"/>
      </rPr>
      <t>Eidstein</t>
    </r>
    <r>
      <rPr>
        <sz val="10"/>
        <rFont val="Arial"/>
        <family val="0"/>
      </rPr>
      <t xml:space="preserve">: nie fliehen, nie bedrängt (Flanke oder </t>
    </r>
  </si>
  <si>
    <t>Rücken), zu allen Seiten parieren, immer Herausf. annehmen</t>
  </si>
  <si>
    <r>
      <t>alle</t>
    </r>
    <r>
      <rPr>
        <b/>
        <sz val="10"/>
        <rFont val="Arial"/>
        <family val="2"/>
      </rPr>
      <t xml:space="preserve"> Zwerge haben </t>
    </r>
    <r>
      <rPr>
        <b/>
        <u val="single"/>
        <sz val="10"/>
        <color indexed="10"/>
        <rFont val="Arial"/>
        <family val="0"/>
      </rPr>
      <t>Erbfeindschaft</t>
    </r>
    <r>
      <rPr>
        <b/>
        <sz val="10"/>
        <color indexed="10"/>
        <rFont val="Arial"/>
        <family val="0"/>
      </rPr>
      <t xml:space="preserve"> </t>
    </r>
    <r>
      <rPr>
        <b/>
        <sz val="10"/>
        <rFont val="Arial"/>
        <family val="2"/>
      </rPr>
      <t xml:space="preserve">(Hass auf Grünhäute, Skaven und evtl. andere Gegner), sind </t>
    </r>
    <r>
      <rPr>
        <b/>
        <u val="single"/>
        <sz val="10"/>
        <color indexed="10"/>
        <rFont val="Arial"/>
        <family val="0"/>
      </rPr>
      <t>Resolut</t>
    </r>
    <r>
      <rPr>
        <b/>
        <sz val="10"/>
        <rFont val="Arial"/>
        <family val="2"/>
      </rPr>
      <t xml:space="preserve"> (bei Angriff S=+1), </t>
    </r>
    <r>
      <rPr>
        <b/>
        <u val="single"/>
        <sz val="10"/>
        <color indexed="10"/>
        <rFont val="Arial"/>
        <family val="0"/>
      </rPr>
      <t>Entschlossen</t>
    </r>
    <r>
      <rPr>
        <b/>
        <sz val="10"/>
        <rFont val="Arial"/>
        <family val="2"/>
      </rPr>
      <t xml:space="preserve"> (Marschieren innerhalb 8 Zoll) und verfügen über den Schildwall (Parieren =+1; nicht Aufprall und Niedertrampeln); </t>
    </r>
    <r>
      <rPr>
        <b/>
        <u val="single"/>
        <sz val="10"/>
        <color indexed="10"/>
        <rFont val="Arial"/>
        <family val="0"/>
      </rPr>
      <t>Magieresistenz</t>
    </r>
    <r>
      <rPr>
        <b/>
        <sz val="10"/>
        <rFont val="Arial"/>
        <family val="2"/>
      </rPr>
      <t xml:space="preserve"> der Zwerge = +2 auf alle Bannwürfe</t>
    </r>
  </si>
  <si>
    <t>Alter Späher</t>
  </si>
  <si>
    <t>3(x)</t>
  </si>
  <si>
    <r>
      <t xml:space="preserve">Wurfaxt </t>
    </r>
    <r>
      <rPr>
        <sz val="10"/>
        <rFont val="Arial"/>
        <family val="0"/>
      </rPr>
      <t>6", S=4, schnell schußb. = kein Malus Bewegung</t>
    </r>
  </si>
  <si>
    <t xml:space="preserve">Immer Stehen.&amp; Schießen </t>
  </si>
  <si>
    <t>EXTRAS</t>
  </si>
  <si>
    <t>Held</t>
  </si>
  <si>
    <t>Eliteeinheiten</t>
  </si>
  <si>
    <t>Kerneinheiten</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</si>
</sst>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quot;€&quot;;#,##0&quot;€&quot;"/>
    <numFmt numFmtId="181" formatCode="#,##0&quot;€&quot;;[Red]#,##0&quot;€&quot;"/>
    <numFmt numFmtId="182" formatCode="#,##0.00&quot;€&quot;;#,##0.00&quot;€&quot;"/>
    <numFmt numFmtId="183" formatCode="#,##0.00&quot;€&quot;;[Red]#,##0.00&quot;€&quot;"/>
    <numFmt numFmtId="184" formatCode="_ * #,##0&quot;€&quot;_ ;_ * #,##0&quot;€&quot;_ ;_ * &quot;-&quot;&quot;€&quot;_ ;_ @_ "/>
    <numFmt numFmtId="185" formatCode="_ * #,##0_€_ ;_ * #,##0_€_ ;_ * &quot;-&quot;_€_ ;_ @_ "/>
    <numFmt numFmtId="186" formatCode="_ * #,##0.00&quot;€&quot;_ ;_ * #,##0.00&quot;€&quot;_ ;_ * &quot;-&quot;??&quot;€&quot;_ ;_ @_ "/>
    <numFmt numFmtId="187" formatCode="_ * #,##0.00_€_ ;_ * #,##0.00_€_ ;_ * &quot;-&quot;??_€_ ;_ @_ "/>
    <numFmt numFmtId="188" formatCode="\$#,##0_);\(\$#,##0\)"/>
    <numFmt numFmtId="189" formatCode="\$#,##0_);[Red]\(\$#,##0\)"/>
    <numFmt numFmtId="190" formatCode="\$#,##0.00_);\(\$#,##0.00\)"/>
    <numFmt numFmtId="191" formatCode="\$#,##0.00_);[Red]\(\$#,##0.00\)"/>
  </numFmts>
  <fonts count="47">
    <font>
      <sz val="10"/>
      <name val="Arial"/>
      <family val="0"/>
    </font>
    <font>
      <b/>
      <sz val="10"/>
      <name val="Arial"/>
      <family val="2"/>
    </font>
    <font>
      <sz val="6"/>
      <name val="Helv"/>
      <family val="0"/>
    </font>
    <font>
      <sz val="8"/>
      <name val="Arial"/>
      <family val="0"/>
    </font>
    <font>
      <u val="single"/>
      <sz val="12.5"/>
      <color indexed="12"/>
      <name val="Arial"/>
      <family val="0"/>
    </font>
    <font>
      <u val="single"/>
      <sz val="12.5"/>
      <color indexed="61"/>
      <name val="Arial"/>
      <family val="0"/>
    </font>
    <font>
      <sz val="10"/>
      <color indexed="12"/>
      <name val="Arial"/>
      <family val="0"/>
    </font>
    <font>
      <b/>
      <sz val="10"/>
      <color indexed="12"/>
      <name val="Arial"/>
      <family val="0"/>
    </font>
    <font>
      <b/>
      <sz val="8"/>
      <name val="Arial"/>
      <family val="0"/>
    </font>
    <font>
      <b/>
      <sz val="11"/>
      <name val="Arial"/>
      <family val="0"/>
    </font>
    <font>
      <sz val="11"/>
      <name val="Arial"/>
      <family val="0"/>
    </font>
    <font>
      <b/>
      <sz val="12"/>
      <name val="Arial"/>
      <family val="0"/>
    </font>
    <font>
      <sz val="12"/>
      <name val="Arial"/>
      <family val="0"/>
    </font>
    <font>
      <sz val="10"/>
      <color indexed="10"/>
      <name val="Arial"/>
      <family val="0"/>
    </font>
    <font>
      <b/>
      <sz val="10"/>
      <color indexed="57"/>
      <name val="Arial"/>
      <family val="0"/>
    </font>
    <font>
      <sz val="10"/>
      <color indexed="57"/>
      <name val="Arial"/>
      <family val="0"/>
    </font>
    <font>
      <b/>
      <sz val="12"/>
      <color indexed="57"/>
      <name val="Arial"/>
      <family val="0"/>
    </font>
    <font>
      <sz val="36"/>
      <name val="DS-Normal-Fraktur"/>
      <family val="0"/>
    </font>
    <font>
      <sz val="14"/>
      <name val="DS-Normal-Fraktur"/>
      <family val="0"/>
    </font>
    <font>
      <b/>
      <sz val="14"/>
      <name val="Arial"/>
      <family val="0"/>
    </font>
    <font>
      <sz val="14"/>
      <name val="Arial"/>
      <family val="0"/>
    </font>
    <font>
      <b/>
      <sz val="9"/>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1"/>
      <name val="Arial"/>
      <family val="0"/>
    </font>
    <font>
      <sz val="10"/>
      <color indexed="61"/>
      <name val="Arial"/>
      <family val="0"/>
    </font>
    <font>
      <b/>
      <sz val="12"/>
      <color indexed="61"/>
      <name val="Arial"/>
      <family val="0"/>
    </font>
    <font>
      <b/>
      <u val="single"/>
      <sz val="10"/>
      <color indexed="10"/>
      <name val="Arial"/>
      <family val="0"/>
    </font>
    <font>
      <b/>
      <sz val="10"/>
      <color indexed="10"/>
      <name val="Arial"/>
      <family val="0"/>
    </font>
    <font>
      <b/>
      <u val="single"/>
      <sz val="10"/>
      <name val="Arial"/>
      <family val="0"/>
    </font>
    <font>
      <sz val="6"/>
      <name val="Arial"/>
      <family val="0"/>
    </font>
    <font>
      <sz val="12"/>
      <color indexed="8"/>
      <name val="Arial"/>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mediumGray">
        <bgColor indexed="22"/>
      </patternFill>
    </fill>
    <fill>
      <patternFill patternType="mediumGray">
        <fgColor indexed="8"/>
      </patternFill>
    </fill>
    <fill>
      <patternFill patternType="mediumGray"/>
    </fill>
    <fill>
      <patternFill patternType="solid">
        <fgColor indexed="65"/>
        <bgColor indexed="64"/>
      </patternFill>
    </fill>
  </fills>
  <borders count="5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style="medium"/>
      <right style="thin"/>
      <top>
        <color indexed="63"/>
      </top>
      <bottom style="thin"/>
    </border>
    <border>
      <left style="medium"/>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3"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3"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0" fillId="2" borderId="1" applyNumberFormat="0" applyAlignment="0" applyProtection="0"/>
    <xf numFmtId="0" fontId="31" fillId="2"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3" borderId="2" applyNumberFormat="0" applyAlignment="0" applyProtection="0"/>
    <xf numFmtId="0" fontId="36" fillId="0" borderId="3" applyNumberFormat="0" applyFill="0" applyAlignment="0" applyProtection="0"/>
    <xf numFmtId="0" fontId="35" fillId="0" borderId="0" applyNumberFormat="0" applyFill="0" applyBorder="0" applyAlignment="0" applyProtection="0"/>
    <xf numFmtId="0" fontId="26" fillId="14" borderId="0" applyNumberFormat="0" applyBorder="0" applyAlignment="0" applyProtection="0"/>
    <xf numFmtId="0" fontId="4" fillId="0" borderId="0" applyNumberFormat="0" applyFill="0" applyBorder="0" applyAlignment="0" applyProtection="0"/>
    <xf numFmtId="0" fontId="28"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7" fillId="15" borderId="0" applyNumberFormat="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3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3" fillId="16" borderId="9" applyNumberFormat="0" applyAlignment="0" applyProtection="0"/>
  </cellStyleXfs>
  <cellXfs count="221">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1" fillId="0" borderId="0" xfId="0" applyFont="1" applyAlignment="1">
      <alignment vertical="center"/>
    </xf>
    <xf numFmtId="0" fontId="0" fillId="0" borderId="0" xfId="0" applyAlignment="1">
      <alignment horizontal="left" vertical="center"/>
    </xf>
    <xf numFmtId="0" fontId="12" fillId="0" borderId="10" xfId="0" applyFont="1" applyBorder="1" applyAlignment="1">
      <alignment vertical="center"/>
    </xf>
    <xf numFmtId="0" fontId="12" fillId="0" borderId="0" xfId="0" applyFont="1" applyBorder="1" applyAlignment="1">
      <alignment vertical="center"/>
    </xf>
    <xf numFmtId="0" fontId="11" fillId="0" borderId="10"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0" fillId="0" borderId="0" xfId="0" applyAlignment="1">
      <alignment horizont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 fillId="0" borderId="0" xfId="0" applyFont="1" applyAlignment="1">
      <alignment horizontal="left" vertical="center"/>
    </xf>
    <xf numFmtId="0" fontId="14" fillId="0" borderId="0" xfId="0" applyFont="1" applyAlignment="1">
      <alignment horizontal="center" vertical="center"/>
    </xf>
    <xf numFmtId="0" fontId="11" fillId="0" borderId="10" xfId="0" applyFont="1" applyBorder="1" applyAlignment="1">
      <alignment horizontal="right" vertical="center"/>
    </xf>
    <xf numFmtId="0" fontId="0" fillId="0" borderId="10" xfId="0" applyBorder="1" applyAlignment="1">
      <alignment vertical="center"/>
    </xf>
    <xf numFmtId="0" fontId="19" fillId="0" borderId="10" xfId="0" applyFont="1" applyBorder="1" applyAlignment="1">
      <alignment horizontal="center" vertical="center"/>
    </xf>
    <xf numFmtId="0" fontId="20" fillId="0" borderId="0" xfId="0" applyFont="1" applyBorder="1" applyAlignment="1">
      <alignment vertical="center"/>
    </xf>
    <xf numFmtId="0" fontId="0" fillId="0" borderId="0" xfId="0" applyFont="1" applyAlignment="1">
      <alignment vertical="center"/>
    </xf>
    <xf numFmtId="0" fontId="11" fillId="0" borderId="0" xfId="0" applyFont="1" applyBorder="1" applyAlignment="1">
      <alignment horizontal="right" vertical="center"/>
    </xf>
    <xf numFmtId="0" fontId="19" fillId="0" borderId="0" xfId="0" applyFont="1" applyBorder="1" applyAlignment="1">
      <alignment horizontal="center" vertical="center"/>
    </xf>
    <xf numFmtId="0" fontId="11" fillId="0" borderId="11" xfId="0" applyFont="1" applyBorder="1" applyAlignment="1">
      <alignment horizontal="left" vertical="center"/>
    </xf>
    <xf numFmtId="0" fontId="12" fillId="0" borderId="11"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right" vertical="center"/>
    </xf>
    <xf numFmtId="0" fontId="0" fillId="0" borderId="11" xfId="0" applyBorder="1" applyAlignment="1">
      <alignment vertical="center"/>
    </xf>
    <xf numFmtId="0" fontId="9" fillId="0" borderId="0" xfId="0" applyFont="1" applyBorder="1" applyAlignment="1">
      <alignment horizontal="left"/>
    </xf>
    <xf numFmtId="0" fontId="1" fillId="3" borderId="0" xfId="0" applyFont="1" applyFill="1" applyAlignment="1">
      <alignment horizontal="center" vertical="center"/>
    </xf>
    <xf numFmtId="0" fontId="7"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44"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1" fillId="0" borderId="0" xfId="0" applyFont="1" applyFill="1" applyBorder="1" applyAlignment="1">
      <alignment horizontal="center" vertical="center" wrapText="1"/>
    </xf>
    <xf numFmtId="0" fontId="11" fillId="0" borderId="10" xfId="0" applyFont="1" applyBorder="1" applyAlignment="1" applyProtection="1">
      <alignment horizontal="left" vertical="center"/>
      <protection locked="0"/>
    </xf>
    <xf numFmtId="0" fontId="12" fillId="0" borderId="10" xfId="0" applyFont="1" applyBorder="1" applyAlignment="1" applyProtection="1">
      <alignment vertical="center"/>
      <protection locked="0"/>
    </xf>
    <xf numFmtId="0" fontId="0" fillId="0" borderId="0" xfId="0" applyAlignment="1" applyProtection="1">
      <alignment vertical="center"/>
      <protection locked="0"/>
    </xf>
    <xf numFmtId="0" fontId="11" fillId="0" borderId="10" xfId="0" applyFont="1" applyBorder="1" applyAlignment="1" applyProtection="1">
      <alignment vertical="center"/>
      <protection locked="0"/>
    </xf>
    <xf numFmtId="0" fontId="11" fillId="0" borderId="10"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 fillId="6" borderId="13" xfId="0" applyFont="1" applyFill="1" applyBorder="1" applyAlignment="1" applyProtection="1">
      <alignment vertical="center"/>
      <protection locked="0"/>
    </xf>
    <xf numFmtId="0" fontId="8" fillId="6" borderId="14"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17" borderId="15" xfId="0" applyFont="1" applyFill="1" applyBorder="1" applyAlignment="1" applyProtection="1">
      <alignment horizontal="center" vertical="center"/>
      <protection locked="0"/>
    </xf>
    <xf numFmtId="0" fontId="1" fillId="6" borderId="13"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wrapText="1"/>
      <protection locked="0"/>
    </xf>
    <xf numFmtId="0" fontId="1" fillId="6" borderId="16"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8" fillId="6" borderId="15" xfId="0" applyFont="1" applyFill="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11" fillId="0" borderId="18"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0" fillId="18" borderId="20" xfId="0" applyFont="1" applyFill="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0" fillId="0" borderId="23"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11" fillId="3" borderId="18"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1" fillId="0" borderId="18" xfId="0" applyFont="1" applyBorder="1" applyAlignment="1" applyProtection="1">
      <alignment/>
      <protection locked="0"/>
    </xf>
    <xf numFmtId="0" fontId="9" fillId="0" borderId="23"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11" fillId="0" borderId="18" xfId="0" applyFont="1" applyFill="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9" fillId="0" borderId="2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9" fillId="0" borderId="23"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24"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0" fillId="0" borderId="0" xfId="0" applyAlignment="1" applyProtection="1">
      <alignment/>
      <protection locked="0"/>
    </xf>
    <xf numFmtId="0" fontId="1" fillId="6" borderId="25" xfId="0" applyFont="1" applyFill="1" applyBorder="1" applyAlignment="1" applyProtection="1">
      <alignment vertical="center" wrapText="1"/>
      <protection locked="0"/>
    </xf>
    <xf numFmtId="0" fontId="8" fillId="6" borderId="11" xfId="0"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 fillId="17" borderId="20" xfId="0" applyFont="1" applyFill="1" applyBorder="1" applyAlignment="1" applyProtection="1">
      <alignment horizontal="center" vertical="center"/>
      <protection locked="0"/>
    </xf>
    <xf numFmtId="0" fontId="1" fillId="6" borderId="25" xfId="0"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wrapText="1"/>
      <protection locked="0"/>
    </xf>
    <xf numFmtId="0" fontId="1" fillId="6" borderId="23" xfId="0" applyFont="1" applyFill="1" applyBorder="1" applyAlignment="1" applyProtection="1">
      <alignment horizontal="center" vertical="center"/>
      <protection locked="0"/>
    </xf>
    <xf numFmtId="0" fontId="1" fillId="6" borderId="20" xfId="0" applyFont="1" applyFill="1" applyBorder="1" applyAlignment="1" applyProtection="1">
      <alignment horizontal="center" vertical="center"/>
      <protection locked="0"/>
    </xf>
    <xf numFmtId="0" fontId="8" fillId="6" borderId="20" xfId="0" applyFont="1" applyFill="1" applyBorder="1" applyAlignment="1" applyProtection="1">
      <alignment horizontal="center" vertical="center"/>
      <protection locked="0"/>
    </xf>
    <xf numFmtId="0" fontId="0" fillId="0" borderId="17" xfId="0" applyBorder="1" applyAlignment="1" applyProtection="1">
      <alignment vertical="center"/>
      <protection locked="0"/>
    </xf>
    <xf numFmtId="0" fontId="0" fillId="18" borderId="20" xfId="0" applyFill="1" applyBorder="1" applyAlignment="1" applyProtection="1">
      <alignment horizontal="center" vertical="center"/>
      <protection locked="0"/>
    </xf>
    <xf numFmtId="0" fontId="39" fillId="0" borderId="0" xfId="0" applyFont="1" applyAlignment="1" applyProtection="1">
      <alignment vertical="center"/>
      <protection locked="0"/>
    </xf>
    <xf numFmtId="49" fontId="0" fillId="0" borderId="23" xfId="0" applyNumberFormat="1" applyFont="1" applyBorder="1" applyAlignment="1" applyProtection="1">
      <alignment vertical="center"/>
      <protection locked="0"/>
    </xf>
    <xf numFmtId="0" fontId="0" fillId="19" borderId="20" xfId="0" applyFill="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5" fillId="0" borderId="26" xfId="0" applyFont="1" applyBorder="1" applyAlignment="1" applyProtection="1">
      <alignment vertical="center"/>
      <protection locked="0"/>
    </xf>
    <xf numFmtId="0" fontId="16" fillId="0" borderId="27"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5" fillId="19" borderId="29" xfId="0" applyFont="1" applyFill="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5" fillId="0" borderId="33" xfId="0" applyFont="1" applyBorder="1" applyAlignment="1" applyProtection="1">
      <alignment vertical="center"/>
      <protection locked="0"/>
    </xf>
    <xf numFmtId="0" fontId="1" fillId="6" borderId="25" xfId="0" applyFont="1" applyFill="1" applyBorder="1" applyAlignment="1" applyProtection="1">
      <alignment vertical="center"/>
      <protection locked="0"/>
    </xf>
    <xf numFmtId="0" fontId="11" fillId="3" borderId="19"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0" fillId="18" borderId="34" xfId="0" applyFont="1" applyFill="1" applyBorder="1" applyAlignment="1" applyProtection="1">
      <alignment horizontal="center" vertical="center"/>
      <protection locked="0"/>
    </xf>
    <xf numFmtId="0" fontId="9" fillId="0" borderId="20" xfId="0" applyFont="1" applyBorder="1" applyAlignment="1" applyProtection="1">
      <alignment vertical="center"/>
      <protection locked="0"/>
    </xf>
    <xf numFmtId="0" fontId="1" fillId="6" borderId="35" xfId="0" applyFont="1" applyFill="1" applyBorder="1" applyAlignment="1" applyProtection="1">
      <alignment vertical="center"/>
      <protection locked="0"/>
    </xf>
    <xf numFmtId="0" fontId="8" fillId="6" borderId="0"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0" fillId="17" borderId="34" xfId="0" applyFill="1" applyBorder="1" applyAlignment="1" applyProtection="1">
      <alignment horizontal="center" vertical="center"/>
      <protection locked="0"/>
    </xf>
    <xf numFmtId="0" fontId="1" fillId="6" borderId="35" xfId="0" applyFont="1" applyFill="1" applyBorder="1" applyAlignment="1" applyProtection="1">
      <alignment horizontal="center" vertical="center"/>
      <protection locked="0"/>
    </xf>
    <xf numFmtId="0" fontId="1" fillId="6" borderId="36" xfId="0" applyFont="1" applyFill="1" applyBorder="1" applyAlignment="1" applyProtection="1">
      <alignment horizontal="center" vertical="center"/>
      <protection locked="0"/>
    </xf>
    <xf numFmtId="0" fontId="1" fillId="6" borderId="34" xfId="0" applyFont="1" applyFill="1" applyBorder="1" applyAlignment="1" applyProtection="1">
      <alignment horizontal="center" vertical="center"/>
      <protection locked="0"/>
    </xf>
    <xf numFmtId="0" fontId="8" fillId="6" borderId="34" xfId="0" applyFont="1" applyFill="1" applyBorder="1" applyAlignment="1" applyProtection="1">
      <alignment horizontal="center" vertical="center"/>
      <protection locked="0"/>
    </xf>
    <xf numFmtId="0" fontId="0" fillId="19" borderId="20" xfId="0" applyFont="1" applyFill="1" applyBorder="1" applyAlignment="1" applyProtection="1">
      <alignment horizontal="center" vertical="center"/>
      <protection locked="0"/>
    </xf>
    <xf numFmtId="0" fontId="0" fillId="0" borderId="26" xfId="0" applyFont="1" applyBorder="1" applyAlignment="1" applyProtection="1">
      <alignment vertical="center"/>
      <protection locked="0"/>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0" fillId="19" borderId="29" xfId="0" applyFont="1" applyFill="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31" xfId="0" applyFont="1" applyBorder="1" applyAlignment="1" applyProtection="1">
      <alignment/>
      <protection locked="0"/>
    </xf>
    <xf numFmtId="0" fontId="11" fillId="0" borderId="32"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0" fillId="0" borderId="33" xfId="0" applyFont="1" applyBorder="1" applyAlignment="1" applyProtection="1">
      <alignment vertical="center"/>
      <protection locked="0"/>
    </xf>
    <xf numFmtId="0" fontId="40" fillId="0" borderId="17" xfId="0" applyFont="1" applyBorder="1" applyAlignment="1" applyProtection="1">
      <alignment vertical="center"/>
      <protection locked="0"/>
    </xf>
    <xf numFmtId="0" fontId="41" fillId="0" borderId="18"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0" fillId="19" borderId="20" xfId="0" applyFont="1" applyFill="1" applyBorder="1" applyAlignment="1" applyProtection="1">
      <alignment horizontal="center" vertical="center"/>
      <protection locked="0"/>
    </xf>
    <xf numFmtId="0" fontId="41" fillId="0" borderId="21" xfId="0"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22"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0" fillId="0" borderId="26" xfId="0" applyFont="1" applyBorder="1" applyAlignment="1" applyProtection="1">
      <alignment vertical="center"/>
      <protection locked="0"/>
    </xf>
    <xf numFmtId="0" fontId="41" fillId="0" borderId="2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0" fillId="19" borderId="29" xfId="0" applyFont="1" applyFill="1" applyBorder="1" applyAlignment="1" applyProtection="1">
      <alignment horizontal="center" vertical="center"/>
      <protection locked="0"/>
    </xf>
    <xf numFmtId="0" fontId="41" fillId="0" borderId="30" xfId="0" applyFont="1" applyBorder="1" applyAlignment="1" applyProtection="1">
      <alignment horizontal="center" vertical="center"/>
      <protection locked="0"/>
    </xf>
    <xf numFmtId="0" fontId="41" fillId="0" borderId="28" xfId="0" applyFont="1" applyFill="1" applyBorder="1" applyAlignment="1" applyProtection="1">
      <alignment horizontal="center" vertical="center"/>
      <protection locked="0"/>
    </xf>
    <xf numFmtId="0" fontId="41" fillId="0" borderId="26" xfId="0" applyFont="1" applyBorder="1" applyAlignment="1" applyProtection="1">
      <alignment horizontal="center" vertical="center"/>
      <protection locked="0"/>
    </xf>
    <xf numFmtId="0" fontId="41" fillId="0" borderId="31" xfId="0" applyFont="1" applyBorder="1" applyAlignment="1" applyProtection="1">
      <alignment/>
      <protection locked="0"/>
    </xf>
    <xf numFmtId="0" fontId="41" fillId="0" borderId="32" xfId="0"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9" fillId="0" borderId="33" xfId="0" applyFont="1" applyBorder="1" applyAlignment="1" applyProtection="1">
      <alignment vertical="center"/>
      <protection locked="0"/>
    </xf>
    <xf numFmtId="0" fontId="1" fillId="6" borderId="19" xfId="0" applyFont="1" applyFill="1" applyBorder="1" applyAlignment="1" applyProtection="1">
      <alignment vertical="center"/>
      <protection locked="0"/>
    </xf>
    <xf numFmtId="0" fontId="0" fillId="17" borderId="20" xfId="0" applyFill="1" applyBorder="1" applyAlignment="1" applyProtection="1">
      <alignment horizontal="center" vertical="center"/>
      <protection locked="0"/>
    </xf>
    <xf numFmtId="0" fontId="1" fillId="6" borderId="17" xfId="0" applyFont="1" applyFill="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0" fillId="18" borderId="20" xfId="0" applyFont="1" applyFill="1" applyBorder="1" applyAlignment="1" applyProtection="1">
      <alignment horizontal="center" vertical="center"/>
      <protection locked="0"/>
    </xf>
    <xf numFmtId="0" fontId="11" fillId="0" borderId="2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11" fillId="0" borderId="11" xfId="0" applyFont="1" applyBorder="1" applyAlignment="1" applyProtection="1">
      <alignment/>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11" fillId="0" borderId="19" xfId="0" applyFont="1" applyFill="1" applyBorder="1" applyAlignment="1" applyProtection="1">
      <alignment horizontal="center" vertical="center"/>
      <protection locked="0"/>
    </xf>
    <xf numFmtId="0" fontId="1" fillId="6" borderId="21" xfId="0" applyFont="1" applyFill="1" applyBorder="1" applyAlignment="1" applyProtection="1">
      <alignment horizontal="center" vertical="center"/>
      <protection locked="0"/>
    </xf>
    <xf numFmtId="0" fontId="0" fillId="0" borderId="24" xfId="0" applyFont="1" applyBorder="1" applyAlignment="1" applyProtection="1">
      <alignment vertical="center"/>
      <protection locked="0"/>
    </xf>
    <xf numFmtId="0" fontId="11" fillId="0" borderId="37" xfId="0" applyFont="1" applyFill="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0" fillId="19" borderId="39" xfId="0" applyFont="1" applyFill="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11" fillId="0" borderId="10" xfId="0" applyFont="1" applyBorder="1" applyAlignment="1" applyProtection="1">
      <alignment/>
      <protection locked="0"/>
    </xf>
    <xf numFmtId="0" fontId="11" fillId="0" borderId="41"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0" fontId="0" fillId="0" borderId="42" xfId="0" applyFont="1" applyBorder="1" applyAlignment="1" applyProtection="1">
      <alignment vertical="center"/>
      <protection locked="0"/>
    </xf>
    <xf numFmtId="0" fontId="11" fillId="3" borderId="21" xfId="0" applyFont="1" applyFill="1" applyBorder="1" applyAlignment="1" applyProtection="1">
      <alignment horizontal="center" vertical="center"/>
      <protection locked="0"/>
    </xf>
    <xf numFmtId="0" fontId="45" fillId="0" borderId="17" xfId="0" applyFont="1" applyBorder="1" applyAlignment="1" applyProtection="1">
      <alignment vertical="center"/>
      <protection locked="0"/>
    </xf>
    <xf numFmtId="0" fontId="11" fillId="0" borderId="21" xfId="0" applyFont="1" applyFill="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0" fontId="1" fillId="6" borderId="35" xfId="0" applyFont="1" applyFill="1" applyBorder="1" applyAlignment="1" applyProtection="1">
      <alignment vertical="center" wrapText="1"/>
      <protection locked="0"/>
    </xf>
    <xf numFmtId="0" fontId="40" fillId="18" borderId="2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6" xfId="0" applyFont="1" applyBorder="1" applyAlignment="1" applyProtection="1">
      <alignment vertical="center"/>
      <protection locked="0"/>
    </xf>
    <xf numFmtId="0" fontId="11" fillId="0" borderId="27" xfId="0" applyFont="1" applyFill="1" applyBorder="1" applyAlignment="1" applyProtection="1">
      <alignment horizontal="center" vertical="center"/>
      <protection locked="0"/>
    </xf>
    <xf numFmtId="49" fontId="9" fillId="0" borderId="33" xfId="0" applyNumberFormat="1" applyFont="1" applyBorder="1" applyAlignment="1" applyProtection="1">
      <alignment vertical="center"/>
      <protection locked="0"/>
    </xf>
    <xf numFmtId="49" fontId="0" fillId="0" borderId="33" xfId="0" applyNumberFormat="1" applyFont="1" applyBorder="1" applyAlignment="1" applyProtection="1">
      <alignment vertical="center"/>
      <protection locked="0"/>
    </xf>
    <xf numFmtId="0" fontId="0" fillId="0" borderId="43" xfId="0" applyFont="1" applyBorder="1" applyAlignment="1" applyProtection="1">
      <alignment vertical="center"/>
      <protection locked="0"/>
    </xf>
    <xf numFmtId="0" fontId="11" fillId="0" borderId="44" xfId="0" applyFont="1" applyFill="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0" fillId="19" borderId="46" xfId="0" applyFont="1" applyFill="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49" fontId="9" fillId="0" borderId="50" xfId="0"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20" borderId="0" xfId="0" applyFont="1" applyFill="1" applyBorder="1" applyAlignment="1" applyProtection="1">
      <alignment horizontal="center" vertical="center"/>
      <protection locked="0"/>
    </xf>
    <xf numFmtId="0" fontId="0" fillId="20" borderId="0" xfId="0" applyFill="1" applyBorder="1" applyAlignment="1" applyProtection="1">
      <alignment horizontal="center" vertical="center"/>
      <protection locked="0"/>
    </xf>
    <xf numFmtId="0" fontId="10" fillId="20" borderId="0"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xdr:row>
      <xdr:rowOff>76200</xdr:rowOff>
    </xdr:from>
    <xdr:to>
      <xdr:col>18</xdr:col>
      <xdr:colOff>0</xdr:colOff>
      <xdr:row>5</xdr:row>
      <xdr:rowOff>266700</xdr:rowOff>
    </xdr:to>
    <xdr:pic>
      <xdr:nvPicPr>
        <xdr:cNvPr id="1" name="Picture 1"/>
        <xdr:cNvPicPr preferRelativeResize="1">
          <a:picLocks noChangeAspect="1"/>
        </xdr:cNvPicPr>
      </xdr:nvPicPr>
      <xdr:blipFill>
        <a:blip r:embed="rId1"/>
        <a:stretch>
          <a:fillRect/>
        </a:stretch>
      </xdr:blipFill>
      <xdr:spPr>
        <a:xfrm>
          <a:off x="3638550" y="1295400"/>
          <a:ext cx="1085850" cy="609600"/>
        </a:xfrm>
        <a:prstGeom prst="rect">
          <a:avLst/>
        </a:prstGeom>
        <a:noFill/>
        <a:ln w="9525" cmpd="sng">
          <a:noFill/>
        </a:ln>
      </xdr:spPr>
    </xdr:pic>
    <xdr:clientData/>
  </xdr:twoCellAnchor>
  <xdr:oneCellAnchor>
    <xdr:from>
      <xdr:col>23</xdr:col>
      <xdr:colOff>885825</xdr:colOff>
      <xdr:row>3</xdr:row>
      <xdr:rowOff>47625</xdr:rowOff>
    </xdr:from>
    <xdr:ext cx="466725" cy="257175"/>
    <xdr:sp>
      <xdr:nvSpPr>
        <xdr:cNvPr id="2" name="TextBox 15"/>
        <xdr:cNvSpPr txBox="1">
          <a:spLocks noChangeArrowheads="1"/>
        </xdr:cNvSpPr>
      </xdr:nvSpPr>
      <xdr:spPr>
        <a:xfrm>
          <a:off x="6743700" y="1266825"/>
          <a:ext cx="466725" cy="257175"/>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W6 +</a:t>
          </a:r>
        </a:p>
      </xdr:txBody>
    </xdr:sp>
    <xdr:clientData/>
  </xdr:oneCellAnchor>
  <xdr:twoCellAnchor>
    <xdr:from>
      <xdr:col>24</xdr:col>
      <xdr:colOff>133350</xdr:colOff>
      <xdr:row>1</xdr:row>
      <xdr:rowOff>85725</xdr:rowOff>
    </xdr:from>
    <xdr:to>
      <xdr:col>29</xdr:col>
      <xdr:colOff>1114425</xdr:colOff>
      <xdr:row>6</xdr:row>
      <xdr:rowOff>228600</xdr:rowOff>
    </xdr:to>
    <xdr:sp>
      <xdr:nvSpPr>
        <xdr:cNvPr id="3" name="TextBox 68"/>
        <xdr:cNvSpPr txBox="1">
          <a:spLocks noChangeArrowheads="1"/>
        </xdr:cNvSpPr>
      </xdr:nvSpPr>
      <xdr:spPr>
        <a:xfrm>
          <a:off x="9153525" y="152400"/>
          <a:ext cx="4905375" cy="2038350"/>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2014 by Axes of Aix / Thomas Straeten
Diese Datei darf nur zu privaten Zwecken verwendet werden. Diese privaten Zwecke umfassen ausschließlich Spiele von Privatpersonen im Rahmen des Tabletop-Spiels Warhammer. Jegliche kommerzielle Nutzung, wie etwa der Verkauf, sowie eine Veränderung dieser Armeeliste sind strengstens verboten. Eine Veröffentlichung auf einer anderen Website als der von Axes of Aix bedarf der Erlaubnis des Autors!
Eine Benutzung ist nur mit dem Akzeptieren der oben genannten Bedingungen erlaubt.</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I532"/>
  <sheetViews>
    <sheetView tabSelected="1" zoomScale="125" zoomScaleNormal="125" zoomScalePageLayoutView="0" workbookViewId="0" topLeftCell="A1">
      <selection activeCell="Z12" sqref="Z12"/>
    </sheetView>
  </sheetViews>
  <sheetFormatPr defaultColWidth="10.8515625" defaultRowHeight="12.75"/>
  <cols>
    <col min="1" max="1" width="17.8515625" style="2" customWidth="1"/>
    <col min="2" max="2" width="3.28125" style="3" customWidth="1"/>
    <col min="3" max="11" width="3.28125" style="2" customWidth="1"/>
    <col min="12" max="12" width="0.42578125" style="2" customWidth="1"/>
    <col min="13" max="18" width="3.28125" style="2" customWidth="1"/>
    <col min="19" max="19" width="3.7109375" style="1" customWidth="1"/>
    <col min="20" max="20" width="10.28125" style="2" hidden="1" customWidth="1"/>
    <col min="21" max="21" width="3.8515625" style="2" customWidth="1"/>
    <col min="22" max="22" width="4.28125" style="2" customWidth="1"/>
    <col min="23" max="23" width="5.140625" style="2" customWidth="1"/>
    <col min="24" max="24" width="47.421875" style="2" customWidth="1"/>
    <col min="25" max="27" width="10.8515625" style="2" customWidth="1"/>
    <col min="28" max="28" width="21.8515625" style="2" customWidth="1"/>
    <col min="29" max="29" width="4.421875" style="2" customWidth="1"/>
    <col min="30" max="30" width="23.00390625" style="2" customWidth="1"/>
    <col min="31" max="31" width="4.140625" style="2" customWidth="1"/>
    <col min="32" max="32" width="24.421875" style="2" customWidth="1"/>
    <col min="33" max="16384" width="10.8515625" style="2" customWidth="1"/>
  </cols>
  <sheetData>
    <row r="1" ht="5.25" customHeight="1"/>
    <row r="2" spans="1:24" ht="50.25" customHeight="1">
      <c r="A2" s="34" t="s">
        <v>119</v>
      </c>
      <c r="B2" s="35"/>
      <c r="C2" s="35"/>
      <c r="D2" s="35"/>
      <c r="E2" s="35"/>
      <c r="F2" s="35"/>
      <c r="G2" s="35"/>
      <c r="H2" s="35"/>
      <c r="I2" s="35"/>
      <c r="J2" s="35"/>
      <c r="K2" s="35"/>
      <c r="L2" s="35"/>
      <c r="M2" s="35"/>
      <c r="N2" s="35"/>
      <c r="O2" s="35"/>
      <c r="P2" s="35"/>
      <c r="Q2" s="35"/>
      <c r="R2" s="35"/>
      <c r="S2" s="35"/>
      <c r="T2" s="35"/>
      <c r="U2" s="35"/>
      <c r="V2" s="35"/>
      <c r="W2" s="35"/>
      <c r="X2" s="35"/>
    </row>
    <row r="3" spans="1:24" ht="40.5" customHeight="1">
      <c r="A3" s="36" t="s">
        <v>269</v>
      </c>
      <c r="B3" s="35"/>
      <c r="C3" s="35"/>
      <c r="D3" s="35"/>
      <c r="E3" s="35"/>
      <c r="F3" s="35"/>
      <c r="G3" s="35"/>
      <c r="H3" s="35"/>
      <c r="I3" s="35"/>
      <c r="J3" s="35"/>
      <c r="K3" s="35"/>
      <c r="L3" s="35"/>
      <c r="M3" s="35"/>
      <c r="N3" s="35"/>
      <c r="O3" s="35"/>
      <c r="P3" s="35"/>
      <c r="Q3" s="35"/>
      <c r="R3" s="35"/>
      <c r="S3" s="35"/>
      <c r="T3" s="35"/>
      <c r="U3" s="35"/>
      <c r="V3" s="35"/>
      <c r="W3" s="35"/>
      <c r="X3" s="35"/>
    </row>
    <row r="4" spans="1:24" ht="25.5" customHeight="1">
      <c r="A4" s="40" t="s">
        <v>315</v>
      </c>
      <c r="B4" s="41"/>
      <c r="C4" s="41"/>
      <c r="D4" s="41"/>
      <c r="E4" s="41"/>
      <c r="F4" s="41"/>
      <c r="G4" s="41"/>
      <c r="H4" s="41"/>
      <c r="I4" s="41"/>
      <c r="J4" s="41"/>
      <c r="K4" s="41"/>
      <c r="L4" s="41"/>
      <c r="M4" s="41"/>
      <c r="N4" s="8"/>
      <c r="O4" s="8"/>
      <c r="P4" s="8"/>
      <c r="R4" s="8"/>
      <c r="S4" s="13"/>
      <c r="T4" s="7"/>
      <c r="U4" s="7"/>
      <c r="V4" s="9"/>
      <c r="W4" s="18" t="s">
        <v>299</v>
      </c>
      <c r="X4" s="45">
        <f>IF(B118="-",0,B118*1)+IF(B122="-",0,B122)+IF(B183="-",0,B183)+IF(B45="-",0,B45*2)+IF(B98="-",0,B98*1)</f>
        <v>0</v>
      </c>
    </row>
    <row r="5" spans="1:24" ht="7.5" customHeight="1">
      <c r="A5" s="10"/>
      <c r="B5" s="10"/>
      <c r="C5" s="10"/>
      <c r="D5" s="10"/>
      <c r="E5" s="10"/>
      <c r="F5" s="10"/>
      <c r="G5" s="10"/>
      <c r="H5" s="10"/>
      <c r="I5" s="10"/>
      <c r="J5" s="10"/>
      <c r="K5" s="10"/>
      <c r="L5" s="10"/>
      <c r="M5" s="10"/>
      <c r="N5" s="10"/>
      <c r="O5" s="10"/>
      <c r="P5" s="10"/>
      <c r="Q5" s="11"/>
      <c r="R5" s="10"/>
      <c r="S5" s="14"/>
      <c r="T5" s="10"/>
      <c r="U5" s="10"/>
      <c r="V5" s="10"/>
      <c r="W5" s="10"/>
      <c r="X5" s="21"/>
    </row>
    <row r="6" spans="1:24" ht="25.5" customHeight="1">
      <c r="A6" s="40" t="s">
        <v>225</v>
      </c>
      <c r="B6" s="41"/>
      <c r="C6" s="42"/>
      <c r="D6" s="41"/>
      <c r="E6" s="43"/>
      <c r="F6" s="41"/>
      <c r="G6" s="41"/>
      <c r="H6" s="41"/>
      <c r="I6" s="41"/>
      <c r="J6" s="41"/>
      <c r="K6" s="44"/>
      <c r="L6" s="7"/>
      <c r="M6" s="7"/>
      <c r="N6" s="8"/>
      <c r="O6" s="8"/>
      <c r="P6" s="8"/>
      <c r="R6" s="8"/>
      <c r="S6" s="13"/>
      <c r="T6" s="7"/>
      <c r="U6" s="7"/>
      <c r="V6" s="19"/>
      <c r="W6" s="18" t="s">
        <v>298</v>
      </c>
      <c r="X6" s="20">
        <f>V396</f>
        <v>0</v>
      </c>
    </row>
    <row r="7" spans="1:24" ht="25.5" customHeight="1">
      <c r="A7" s="25"/>
      <c r="B7" s="26"/>
      <c r="C7" s="26"/>
      <c r="D7" s="26"/>
      <c r="E7" s="26"/>
      <c r="F7" s="26"/>
      <c r="G7" s="26"/>
      <c r="H7" s="26"/>
      <c r="I7" s="30"/>
      <c r="J7" s="26"/>
      <c r="K7" s="26"/>
      <c r="L7" s="26"/>
      <c r="M7" s="26"/>
      <c r="N7" s="8"/>
      <c r="O7" s="31" t="s">
        <v>227</v>
      </c>
      <c r="R7" s="8"/>
      <c r="T7" s="8"/>
      <c r="U7" s="8"/>
      <c r="V7" s="4"/>
      <c r="W7" s="23"/>
      <c r="X7" s="24"/>
    </row>
    <row r="8" spans="1:24" ht="39" customHeight="1" thickBot="1">
      <c r="A8" s="37" t="s">
        <v>405</v>
      </c>
      <c r="B8" s="38"/>
      <c r="C8" s="38"/>
      <c r="D8" s="38"/>
      <c r="E8" s="38"/>
      <c r="F8" s="38"/>
      <c r="G8" s="38"/>
      <c r="H8" s="38"/>
      <c r="I8" s="38"/>
      <c r="J8" s="38"/>
      <c r="K8" s="38"/>
      <c r="L8" s="38"/>
      <c r="M8" s="38"/>
      <c r="N8" s="38"/>
      <c r="O8" s="38"/>
      <c r="P8" s="38"/>
      <c r="Q8" s="38"/>
      <c r="R8" s="38"/>
      <c r="S8" s="38"/>
      <c r="T8" s="38"/>
      <c r="U8" s="38"/>
      <c r="V8" s="38"/>
      <c r="W8" s="38"/>
      <c r="X8" s="38"/>
    </row>
    <row r="9" spans="1:24" s="42" customFormat="1" ht="25.5" customHeight="1">
      <c r="A9" s="46" t="s">
        <v>271</v>
      </c>
      <c r="B9" s="47" t="s">
        <v>147</v>
      </c>
      <c r="C9" s="48" t="s">
        <v>145</v>
      </c>
      <c r="D9" s="48" t="s">
        <v>253</v>
      </c>
      <c r="E9" s="48" t="s">
        <v>206</v>
      </c>
      <c r="F9" s="48" t="s">
        <v>318</v>
      </c>
      <c r="G9" s="48" t="s">
        <v>146</v>
      </c>
      <c r="H9" s="48" t="s">
        <v>207</v>
      </c>
      <c r="I9" s="48" t="s">
        <v>208</v>
      </c>
      <c r="J9" s="48" t="s">
        <v>209</v>
      </c>
      <c r="K9" s="48" t="s">
        <v>210</v>
      </c>
      <c r="L9" s="49"/>
      <c r="M9" s="48" t="s">
        <v>139</v>
      </c>
      <c r="N9" s="48" t="s">
        <v>140</v>
      </c>
      <c r="O9" s="48" t="s">
        <v>311</v>
      </c>
      <c r="P9" s="48" t="s">
        <v>312</v>
      </c>
      <c r="Q9" s="48" t="s">
        <v>103</v>
      </c>
      <c r="R9" s="48" t="s">
        <v>105</v>
      </c>
      <c r="S9" s="50" t="s">
        <v>343</v>
      </c>
      <c r="T9" s="51" t="s">
        <v>130</v>
      </c>
      <c r="U9" s="52" t="s">
        <v>104</v>
      </c>
      <c r="V9" s="53" t="s">
        <v>187</v>
      </c>
      <c r="W9" s="54" t="s">
        <v>322</v>
      </c>
      <c r="X9" s="52" t="s">
        <v>410</v>
      </c>
    </row>
    <row r="10" spans="1:24" s="42" customFormat="1" ht="15.75" customHeight="1">
      <c r="A10" s="55"/>
      <c r="B10" s="56"/>
      <c r="C10" s="56"/>
      <c r="D10" s="56"/>
      <c r="E10" s="56"/>
      <c r="F10" s="56"/>
      <c r="G10" s="56"/>
      <c r="H10" s="56"/>
      <c r="I10" s="56"/>
      <c r="J10" s="56"/>
      <c r="K10" s="57"/>
      <c r="L10" s="58"/>
      <c r="M10" s="59"/>
      <c r="N10" s="56"/>
      <c r="O10" s="56"/>
      <c r="P10" s="56"/>
      <c r="Q10" s="56"/>
      <c r="R10" s="57"/>
      <c r="S10" s="60"/>
      <c r="T10" s="61"/>
      <c r="U10" s="62"/>
      <c r="V10" s="63"/>
      <c r="W10" s="63"/>
      <c r="X10" s="64"/>
    </row>
    <row r="11" spans="1:24" s="42" customFormat="1" ht="15.75" customHeight="1">
      <c r="A11" s="65"/>
      <c r="B11" s="56"/>
      <c r="C11" s="56"/>
      <c r="D11" s="56"/>
      <c r="E11" s="56"/>
      <c r="F11" s="56"/>
      <c r="G11" s="56"/>
      <c r="H11" s="56"/>
      <c r="I11" s="56"/>
      <c r="J11" s="56"/>
      <c r="K11" s="57"/>
      <c r="L11" s="58"/>
      <c r="M11" s="59"/>
      <c r="N11" s="56"/>
      <c r="O11" s="56"/>
      <c r="P11" s="56"/>
      <c r="Q11" s="56"/>
      <c r="R11" s="57"/>
      <c r="S11" s="60"/>
      <c r="T11" s="61"/>
      <c r="U11" s="62"/>
      <c r="V11" s="63"/>
      <c r="W11" s="63"/>
      <c r="X11" s="64"/>
    </row>
    <row r="12" spans="1:24" s="42" customFormat="1" ht="15.75" customHeight="1">
      <c r="A12" s="65" t="s">
        <v>212</v>
      </c>
      <c r="B12" s="66" t="s">
        <v>142</v>
      </c>
      <c r="C12" s="56">
        <v>3</v>
      </c>
      <c r="D12" s="56">
        <v>7</v>
      </c>
      <c r="E12" s="56">
        <v>6</v>
      </c>
      <c r="F12" s="67" t="s">
        <v>123</v>
      </c>
      <c r="G12" s="56">
        <v>5</v>
      </c>
      <c r="H12" s="56">
        <v>7</v>
      </c>
      <c r="I12" s="56">
        <v>4</v>
      </c>
      <c r="J12" s="56">
        <v>4</v>
      </c>
      <c r="K12" s="57">
        <v>10</v>
      </c>
      <c r="L12" s="58"/>
      <c r="M12" s="59"/>
      <c r="N12" s="56"/>
      <c r="O12" s="68" t="s">
        <v>142</v>
      </c>
      <c r="P12" s="56">
        <v>1</v>
      </c>
      <c r="Q12" s="56" t="s">
        <v>318</v>
      </c>
      <c r="R12" s="68" t="s">
        <v>142</v>
      </c>
      <c r="S12" s="60" t="s">
        <v>118</v>
      </c>
      <c r="T12" s="69"/>
      <c r="U12" s="62" t="s">
        <v>307</v>
      </c>
      <c r="V12" s="63"/>
      <c r="W12" s="63">
        <f>650*IF(B12="-",0,B12)</f>
        <v>0</v>
      </c>
      <c r="X12" s="70" t="s">
        <v>50</v>
      </c>
    </row>
    <row r="13" spans="1:24" s="42" customFormat="1" ht="15.75" customHeight="1">
      <c r="A13" s="71" t="s">
        <v>141</v>
      </c>
      <c r="B13" s="56"/>
      <c r="C13" s="56"/>
      <c r="D13" s="56"/>
      <c r="E13" s="56"/>
      <c r="F13" s="56"/>
      <c r="G13" s="56"/>
      <c r="H13" s="56"/>
      <c r="I13" s="56"/>
      <c r="J13" s="56"/>
      <c r="K13" s="57"/>
      <c r="L13" s="58"/>
      <c r="M13" s="59"/>
      <c r="N13" s="56"/>
      <c r="O13" s="56"/>
      <c r="P13" s="56"/>
      <c r="Q13" s="56"/>
      <c r="R13" s="57"/>
      <c r="S13" s="60"/>
      <c r="T13" s="61"/>
      <c r="U13" s="62" t="s">
        <v>118</v>
      </c>
      <c r="V13" s="63"/>
      <c r="W13" s="63"/>
      <c r="X13" s="70" t="s">
        <v>51</v>
      </c>
    </row>
    <row r="14" spans="1:24" s="42" customFormat="1" ht="15.75" customHeight="1">
      <c r="A14" s="71"/>
      <c r="B14" s="56"/>
      <c r="C14" s="56"/>
      <c r="D14" s="56"/>
      <c r="E14" s="56"/>
      <c r="F14" s="56"/>
      <c r="G14" s="56"/>
      <c r="H14" s="56"/>
      <c r="I14" s="56"/>
      <c r="J14" s="56"/>
      <c r="K14" s="57"/>
      <c r="L14" s="58"/>
      <c r="M14" s="59"/>
      <c r="N14" s="56"/>
      <c r="O14" s="56"/>
      <c r="P14" s="56"/>
      <c r="Q14" s="56"/>
      <c r="R14" s="57"/>
      <c r="S14" s="60"/>
      <c r="T14" s="61"/>
      <c r="U14" s="62"/>
      <c r="V14" s="63"/>
      <c r="W14" s="63"/>
      <c r="X14" s="70" t="s">
        <v>52</v>
      </c>
    </row>
    <row r="15" spans="1:24" s="42" customFormat="1" ht="15.75" customHeight="1">
      <c r="A15" s="65" t="s">
        <v>154</v>
      </c>
      <c r="B15" s="72">
        <f>IF(B12="-",0,4)</f>
        <v>0</v>
      </c>
      <c r="C15" s="56">
        <v>3</v>
      </c>
      <c r="D15" s="56">
        <v>5</v>
      </c>
      <c r="E15" s="56">
        <v>3</v>
      </c>
      <c r="F15" s="56">
        <v>4</v>
      </c>
      <c r="G15" s="68" t="s">
        <v>142</v>
      </c>
      <c r="H15" s="68" t="s">
        <v>142</v>
      </c>
      <c r="I15" s="56">
        <v>3</v>
      </c>
      <c r="J15" s="56">
        <v>1</v>
      </c>
      <c r="K15" s="68" t="s">
        <v>142</v>
      </c>
      <c r="L15" s="58"/>
      <c r="M15" s="59"/>
      <c r="N15" s="56"/>
      <c r="O15" s="56"/>
      <c r="P15" s="56"/>
      <c r="Q15" s="56"/>
      <c r="R15" s="57"/>
      <c r="S15" s="60"/>
      <c r="T15" s="61"/>
      <c r="U15" s="62"/>
      <c r="V15" s="63"/>
      <c r="W15" s="63"/>
      <c r="X15" s="73" t="s">
        <v>53</v>
      </c>
    </row>
    <row r="16" spans="1:24" s="42" customFormat="1" ht="15.75" customHeight="1">
      <c r="A16" s="71"/>
      <c r="B16" s="56"/>
      <c r="C16" s="56"/>
      <c r="D16" s="56"/>
      <c r="E16" s="56"/>
      <c r="F16" s="56"/>
      <c r="G16" s="56"/>
      <c r="H16" s="56"/>
      <c r="I16" s="56"/>
      <c r="J16" s="56"/>
      <c r="K16" s="57"/>
      <c r="L16" s="58"/>
      <c r="M16" s="59"/>
      <c r="N16" s="56"/>
      <c r="O16" s="56"/>
      <c r="P16" s="56"/>
      <c r="Q16" s="56"/>
      <c r="R16" s="57"/>
      <c r="S16" s="60"/>
      <c r="T16" s="61"/>
      <c r="U16" s="62"/>
      <c r="V16" s="63"/>
      <c r="W16" s="63"/>
      <c r="X16" s="73" t="s">
        <v>54</v>
      </c>
    </row>
    <row r="17" spans="1:24" s="42" customFormat="1" ht="15.75" customHeight="1">
      <c r="A17" s="71"/>
      <c r="B17" s="56"/>
      <c r="C17" s="56"/>
      <c r="D17" s="56"/>
      <c r="E17" s="56"/>
      <c r="F17" s="56"/>
      <c r="G17" s="56"/>
      <c r="H17" s="56"/>
      <c r="I17" s="56"/>
      <c r="J17" s="56"/>
      <c r="K17" s="57"/>
      <c r="L17" s="58"/>
      <c r="M17" s="59"/>
      <c r="N17" s="56"/>
      <c r="O17" s="56"/>
      <c r="P17" s="56"/>
      <c r="Q17" s="56"/>
      <c r="R17" s="57"/>
      <c r="S17" s="60"/>
      <c r="T17" s="61"/>
      <c r="U17" s="62"/>
      <c r="V17" s="63"/>
      <c r="W17" s="63"/>
      <c r="X17" s="73" t="s">
        <v>55</v>
      </c>
    </row>
    <row r="18" spans="1:24" s="42" customFormat="1" ht="15.75" customHeight="1">
      <c r="A18" s="71"/>
      <c r="B18" s="56"/>
      <c r="C18" s="56"/>
      <c r="D18" s="56"/>
      <c r="E18" s="56"/>
      <c r="F18" s="56"/>
      <c r="G18" s="56"/>
      <c r="H18" s="56"/>
      <c r="I18" s="56"/>
      <c r="J18" s="56"/>
      <c r="K18" s="57"/>
      <c r="L18" s="58"/>
      <c r="M18" s="59"/>
      <c r="N18" s="56"/>
      <c r="O18" s="56"/>
      <c r="P18" s="56"/>
      <c r="Q18" s="56"/>
      <c r="R18" s="57"/>
      <c r="S18" s="60"/>
      <c r="T18" s="61"/>
      <c r="U18" s="62"/>
      <c r="V18" s="63"/>
      <c r="W18" s="63"/>
      <c r="X18" s="73" t="s">
        <v>56</v>
      </c>
    </row>
    <row r="19" spans="1:24" s="42" customFormat="1" ht="15.75" customHeight="1">
      <c r="A19" s="71"/>
      <c r="B19" s="56"/>
      <c r="C19" s="56"/>
      <c r="D19" s="56"/>
      <c r="E19" s="56"/>
      <c r="F19" s="56"/>
      <c r="G19" s="56"/>
      <c r="H19" s="56"/>
      <c r="I19" s="56"/>
      <c r="J19" s="56"/>
      <c r="K19" s="57"/>
      <c r="L19" s="58"/>
      <c r="M19" s="59"/>
      <c r="N19" s="56"/>
      <c r="O19" s="56"/>
      <c r="P19" s="56"/>
      <c r="Q19" s="56"/>
      <c r="R19" s="57"/>
      <c r="S19" s="60"/>
      <c r="T19" s="61"/>
      <c r="U19" s="62"/>
      <c r="V19" s="63"/>
      <c r="W19" s="63"/>
      <c r="X19" s="73" t="s">
        <v>57</v>
      </c>
    </row>
    <row r="20" spans="1:24" s="42" customFormat="1" ht="15.75" customHeight="1">
      <c r="A20" s="65"/>
      <c r="B20" s="56"/>
      <c r="C20" s="56"/>
      <c r="D20" s="56"/>
      <c r="E20" s="56"/>
      <c r="F20" s="56"/>
      <c r="G20" s="56"/>
      <c r="H20" s="56"/>
      <c r="I20" s="56"/>
      <c r="J20" s="56"/>
      <c r="K20" s="57"/>
      <c r="L20" s="58"/>
      <c r="M20" s="59"/>
      <c r="N20" s="56"/>
      <c r="O20" s="56"/>
      <c r="P20" s="56"/>
      <c r="Q20" s="56"/>
      <c r="R20" s="57"/>
      <c r="S20" s="60"/>
      <c r="T20" s="61"/>
      <c r="U20" s="62"/>
      <c r="V20" s="63"/>
      <c r="W20" s="63"/>
      <c r="X20" s="73" t="s">
        <v>58</v>
      </c>
    </row>
    <row r="21" spans="1:24" s="42" customFormat="1" ht="15.75" customHeight="1">
      <c r="A21" s="65"/>
      <c r="B21" s="56"/>
      <c r="C21" s="56"/>
      <c r="D21" s="56"/>
      <c r="E21" s="56"/>
      <c r="F21" s="56"/>
      <c r="G21" s="56"/>
      <c r="H21" s="56"/>
      <c r="I21" s="56"/>
      <c r="J21" s="56"/>
      <c r="K21" s="57"/>
      <c r="L21" s="58"/>
      <c r="M21" s="59"/>
      <c r="N21" s="56"/>
      <c r="O21" s="56"/>
      <c r="P21" s="56"/>
      <c r="Q21" s="56"/>
      <c r="R21" s="57"/>
      <c r="S21" s="60"/>
      <c r="T21" s="61"/>
      <c r="U21" s="62"/>
      <c r="V21" s="63"/>
      <c r="W21" s="63"/>
      <c r="X21" s="73" t="s">
        <v>0</v>
      </c>
    </row>
    <row r="22" spans="1:24" s="42" customFormat="1" ht="15.75" customHeight="1">
      <c r="A22" s="65"/>
      <c r="B22" s="56"/>
      <c r="C22" s="56"/>
      <c r="D22" s="56"/>
      <c r="E22" s="56"/>
      <c r="F22" s="56"/>
      <c r="G22" s="56"/>
      <c r="H22" s="56"/>
      <c r="I22" s="56"/>
      <c r="J22" s="56"/>
      <c r="K22" s="57"/>
      <c r="L22" s="58"/>
      <c r="M22" s="59"/>
      <c r="N22" s="56"/>
      <c r="O22" s="56"/>
      <c r="P22" s="56"/>
      <c r="Q22" s="56"/>
      <c r="R22" s="57"/>
      <c r="S22" s="60"/>
      <c r="T22" s="61"/>
      <c r="U22" s="62"/>
      <c r="V22" s="63"/>
      <c r="W22" s="63"/>
      <c r="X22" s="64"/>
    </row>
    <row r="23" spans="1:24" s="42" customFormat="1" ht="15.75" customHeight="1">
      <c r="A23" s="65"/>
      <c r="B23" s="56"/>
      <c r="C23" s="56"/>
      <c r="D23" s="56"/>
      <c r="E23" s="56"/>
      <c r="F23" s="56"/>
      <c r="G23" s="56"/>
      <c r="H23" s="56"/>
      <c r="I23" s="56"/>
      <c r="J23" s="56"/>
      <c r="K23" s="57"/>
      <c r="L23" s="58"/>
      <c r="M23" s="59"/>
      <c r="N23" s="56"/>
      <c r="O23" s="56"/>
      <c r="P23" s="56"/>
      <c r="Q23" s="56"/>
      <c r="R23" s="57"/>
      <c r="S23" s="60"/>
      <c r="T23" s="61"/>
      <c r="U23" s="62"/>
      <c r="V23" s="63"/>
      <c r="W23" s="63"/>
      <c r="X23" s="64"/>
    </row>
    <row r="24" spans="1:24" s="42" customFormat="1" ht="15.75" customHeight="1">
      <c r="A24" s="65" t="s">
        <v>15</v>
      </c>
      <c r="B24" s="66" t="s">
        <v>142</v>
      </c>
      <c r="C24" s="56">
        <v>3</v>
      </c>
      <c r="D24" s="56">
        <v>9</v>
      </c>
      <c r="E24" s="56">
        <v>4</v>
      </c>
      <c r="F24" s="67" t="s">
        <v>383</v>
      </c>
      <c r="G24" s="56">
        <v>6</v>
      </c>
      <c r="H24" s="56">
        <v>3</v>
      </c>
      <c r="I24" s="56">
        <v>5</v>
      </c>
      <c r="J24" s="56">
        <v>4</v>
      </c>
      <c r="K24" s="57">
        <v>10</v>
      </c>
      <c r="L24" s="58"/>
      <c r="M24" s="59"/>
      <c r="N24" s="56"/>
      <c r="O24" s="68" t="s">
        <v>142</v>
      </c>
      <c r="P24" s="56">
        <v>1</v>
      </c>
      <c r="Q24" s="56" t="s">
        <v>114</v>
      </c>
      <c r="R24" s="68" t="s">
        <v>142</v>
      </c>
      <c r="S24" s="60" t="s">
        <v>152</v>
      </c>
      <c r="T24" s="61"/>
      <c r="U24" s="62" t="s">
        <v>307</v>
      </c>
      <c r="V24" s="63"/>
      <c r="W24" s="63">
        <f>350*IF(B24="-",0,B24)</f>
        <v>0</v>
      </c>
      <c r="X24" s="70" t="s">
        <v>16</v>
      </c>
    </row>
    <row r="25" spans="1:24" s="42" customFormat="1" ht="15.75" customHeight="1">
      <c r="A25" s="71" t="s">
        <v>274</v>
      </c>
      <c r="B25" s="56"/>
      <c r="C25" s="56"/>
      <c r="D25" s="56"/>
      <c r="E25" s="56"/>
      <c r="F25" s="56"/>
      <c r="G25" s="56"/>
      <c r="H25" s="56"/>
      <c r="I25" s="56"/>
      <c r="J25" s="56"/>
      <c r="K25" s="57"/>
      <c r="L25" s="58"/>
      <c r="M25" s="59"/>
      <c r="N25" s="56"/>
      <c r="O25" s="56"/>
      <c r="P25" s="56"/>
      <c r="Q25" s="56"/>
      <c r="R25" s="57"/>
      <c r="S25" s="60"/>
      <c r="T25" s="61"/>
      <c r="U25" s="62" t="s">
        <v>118</v>
      </c>
      <c r="V25" s="63"/>
      <c r="W25" s="63"/>
      <c r="X25" s="70" t="s">
        <v>61</v>
      </c>
    </row>
    <row r="26" spans="1:24" s="42" customFormat="1" ht="15.75" customHeight="1">
      <c r="A26" s="71"/>
      <c r="B26" s="56"/>
      <c r="C26" s="56"/>
      <c r="D26" s="56"/>
      <c r="E26" s="56"/>
      <c r="F26" s="56"/>
      <c r="G26" s="56"/>
      <c r="H26" s="56"/>
      <c r="I26" s="56"/>
      <c r="J26" s="56"/>
      <c r="K26" s="57"/>
      <c r="L26" s="58"/>
      <c r="M26" s="59"/>
      <c r="N26" s="56"/>
      <c r="O26" s="56"/>
      <c r="P26" s="56"/>
      <c r="Q26" s="56"/>
      <c r="R26" s="57"/>
      <c r="S26" s="60"/>
      <c r="T26" s="61"/>
      <c r="U26" s="62"/>
      <c r="V26" s="63"/>
      <c r="W26" s="63"/>
      <c r="X26" s="74" t="s">
        <v>68</v>
      </c>
    </row>
    <row r="27" spans="1:24" s="42" customFormat="1" ht="15.75" customHeight="1">
      <c r="A27" s="65"/>
      <c r="B27" s="56"/>
      <c r="C27" s="56"/>
      <c r="D27" s="56"/>
      <c r="E27" s="56"/>
      <c r="F27" s="56"/>
      <c r="G27" s="56"/>
      <c r="H27" s="56"/>
      <c r="I27" s="56"/>
      <c r="J27" s="56"/>
      <c r="K27" s="57"/>
      <c r="L27" s="58"/>
      <c r="M27" s="59"/>
      <c r="N27" s="56"/>
      <c r="O27" s="56"/>
      <c r="P27" s="56"/>
      <c r="Q27" s="56"/>
      <c r="R27" s="57"/>
      <c r="S27" s="60"/>
      <c r="T27" s="61"/>
      <c r="U27" s="62"/>
      <c r="V27" s="63"/>
      <c r="W27" s="63"/>
      <c r="X27" s="74" t="s">
        <v>67</v>
      </c>
    </row>
    <row r="28" spans="1:24" s="42" customFormat="1" ht="15.75" customHeight="1">
      <c r="A28" s="65"/>
      <c r="B28" s="56"/>
      <c r="C28" s="56"/>
      <c r="D28" s="56"/>
      <c r="E28" s="56"/>
      <c r="F28" s="56"/>
      <c r="G28" s="56"/>
      <c r="H28" s="56"/>
      <c r="I28" s="56"/>
      <c r="J28" s="56"/>
      <c r="K28" s="57"/>
      <c r="L28" s="58"/>
      <c r="M28" s="59"/>
      <c r="N28" s="56"/>
      <c r="O28" s="56"/>
      <c r="P28" s="56"/>
      <c r="Q28" s="56"/>
      <c r="R28" s="57"/>
      <c r="S28" s="60"/>
      <c r="T28" s="61"/>
      <c r="U28" s="62"/>
      <c r="V28" s="63"/>
      <c r="W28" s="63"/>
      <c r="X28" s="74" t="s">
        <v>18</v>
      </c>
    </row>
    <row r="29" spans="1:24" s="42" customFormat="1" ht="15.75" customHeight="1">
      <c r="A29" s="65"/>
      <c r="B29" s="56"/>
      <c r="C29" s="56"/>
      <c r="D29" s="56"/>
      <c r="E29" s="56"/>
      <c r="F29" s="56"/>
      <c r="G29" s="56"/>
      <c r="H29" s="56"/>
      <c r="I29" s="56"/>
      <c r="J29" s="56"/>
      <c r="K29" s="57"/>
      <c r="L29" s="58"/>
      <c r="M29" s="59"/>
      <c r="N29" s="56"/>
      <c r="O29" s="56"/>
      <c r="P29" s="56"/>
      <c r="Q29" s="56"/>
      <c r="R29" s="57"/>
      <c r="S29" s="60"/>
      <c r="T29" s="61"/>
      <c r="U29" s="62"/>
      <c r="V29" s="63"/>
      <c r="W29" s="63"/>
      <c r="X29" s="73" t="s">
        <v>19</v>
      </c>
    </row>
    <row r="30" spans="1:24" s="42" customFormat="1" ht="15.75" customHeight="1">
      <c r="A30" s="65"/>
      <c r="B30" s="56"/>
      <c r="C30" s="56"/>
      <c r="D30" s="56"/>
      <c r="E30" s="56"/>
      <c r="F30" s="56"/>
      <c r="G30" s="56"/>
      <c r="H30" s="56"/>
      <c r="I30" s="56"/>
      <c r="J30" s="56"/>
      <c r="K30" s="57"/>
      <c r="L30" s="58"/>
      <c r="M30" s="59"/>
      <c r="N30" s="56"/>
      <c r="O30" s="56"/>
      <c r="P30" s="56"/>
      <c r="Q30" s="56"/>
      <c r="R30" s="57"/>
      <c r="S30" s="60"/>
      <c r="T30" s="61"/>
      <c r="U30" s="62"/>
      <c r="V30" s="63"/>
      <c r="W30" s="63"/>
      <c r="X30" s="73" t="s">
        <v>20</v>
      </c>
    </row>
    <row r="31" spans="1:24" s="42" customFormat="1" ht="15.75" customHeight="1">
      <c r="A31" s="65"/>
      <c r="B31" s="56"/>
      <c r="C31" s="56"/>
      <c r="D31" s="56"/>
      <c r="E31" s="56"/>
      <c r="F31" s="56"/>
      <c r="G31" s="56"/>
      <c r="H31" s="56"/>
      <c r="I31" s="56"/>
      <c r="J31" s="56"/>
      <c r="K31" s="57"/>
      <c r="L31" s="58"/>
      <c r="M31" s="59"/>
      <c r="N31" s="56"/>
      <c r="O31" s="56"/>
      <c r="P31" s="56"/>
      <c r="Q31" s="56"/>
      <c r="R31" s="57"/>
      <c r="S31" s="60"/>
      <c r="T31" s="61"/>
      <c r="U31" s="62"/>
      <c r="V31" s="63"/>
      <c r="W31" s="63"/>
      <c r="X31" s="73" t="s">
        <v>22</v>
      </c>
    </row>
    <row r="32" spans="1:24" s="42" customFormat="1" ht="15.75" customHeight="1">
      <c r="A32" s="65"/>
      <c r="B32" s="56"/>
      <c r="C32" s="56"/>
      <c r="D32" s="56"/>
      <c r="E32" s="56"/>
      <c r="F32" s="56"/>
      <c r="G32" s="56"/>
      <c r="H32" s="56"/>
      <c r="I32" s="56"/>
      <c r="J32" s="56"/>
      <c r="K32" s="57"/>
      <c r="L32" s="58"/>
      <c r="M32" s="59"/>
      <c r="N32" s="56"/>
      <c r="O32" s="56"/>
      <c r="P32" s="56"/>
      <c r="Q32" s="56"/>
      <c r="R32" s="57"/>
      <c r="S32" s="60"/>
      <c r="T32" s="61"/>
      <c r="U32" s="62"/>
      <c r="V32" s="63"/>
      <c r="W32" s="63"/>
      <c r="X32" s="73" t="s">
        <v>62</v>
      </c>
    </row>
    <row r="33" spans="1:24" s="42" customFormat="1" ht="15.75" customHeight="1">
      <c r="A33" s="65"/>
      <c r="B33" s="56"/>
      <c r="C33" s="56"/>
      <c r="D33" s="56"/>
      <c r="E33" s="56"/>
      <c r="F33" s="56"/>
      <c r="G33" s="56"/>
      <c r="H33" s="56"/>
      <c r="I33" s="56"/>
      <c r="J33" s="56"/>
      <c r="K33" s="57"/>
      <c r="L33" s="58"/>
      <c r="M33" s="59"/>
      <c r="N33" s="56"/>
      <c r="O33" s="56"/>
      <c r="P33" s="56"/>
      <c r="Q33" s="56"/>
      <c r="R33" s="57"/>
      <c r="S33" s="60"/>
      <c r="T33" s="61"/>
      <c r="U33" s="62"/>
      <c r="V33" s="63"/>
      <c r="W33" s="63"/>
      <c r="X33" s="73" t="s">
        <v>17</v>
      </c>
    </row>
    <row r="34" spans="1:24" s="42" customFormat="1" ht="15.75" customHeight="1">
      <c r="A34" s="65"/>
      <c r="B34" s="56"/>
      <c r="C34" s="56"/>
      <c r="D34" s="56"/>
      <c r="E34" s="56"/>
      <c r="F34" s="56"/>
      <c r="G34" s="56"/>
      <c r="H34" s="56"/>
      <c r="I34" s="56"/>
      <c r="J34" s="56"/>
      <c r="K34" s="57"/>
      <c r="L34" s="58"/>
      <c r="M34" s="59"/>
      <c r="N34" s="56"/>
      <c r="O34" s="56"/>
      <c r="P34" s="56"/>
      <c r="Q34" s="56"/>
      <c r="R34" s="57"/>
      <c r="S34" s="60"/>
      <c r="T34" s="61"/>
      <c r="U34" s="62"/>
      <c r="V34" s="63"/>
      <c r="W34" s="63"/>
      <c r="X34" s="75" t="s">
        <v>21</v>
      </c>
    </row>
    <row r="35" spans="1:24" s="42" customFormat="1" ht="15.75" customHeight="1">
      <c r="A35" s="65"/>
      <c r="B35" s="56"/>
      <c r="C35" s="56"/>
      <c r="D35" s="56"/>
      <c r="E35" s="56"/>
      <c r="F35" s="56"/>
      <c r="G35" s="56"/>
      <c r="H35" s="56"/>
      <c r="I35" s="56"/>
      <c r="J35" s="56"/>
      <c r="K35" s="57"/>
      <c r="L35" s="58"/>
      <c r="M35" s="59"/>
      <c r="N35" s="56"/>
      <c r="O35" s="56"/>
      <c r="P35" s="56"/>
      <c r="Q35" s="56"/>
      <c r="R35" s="57"/>
      <c r="S35" s="60"/>
      <c r="T35" s="61"/>
      <c r="U35" s="62"/>
      <c r="V35" s="63"/>
      <c r="W35" s="63"/>
      <c r="X35" s="64"/>
    </row>
    <row r="36" spans="1:24" s="42" customFormat="1" ht="15.75" customHeight="1">
      <c r="A36" s="65"/>
      <c r="B36" s="56"/>
      <c r="C36" s="56"/>
      <c r="D36" s="56"/>
      <c r="E36" s="56"/>
      <c r="F36" s="56"/>
      <c r="G36" s="56"/>
      <c r="H36" s="56"/>
      <c r="I36" s="56"/>
      <c r="J36" s="56"/>
      <c r="K36" s="57"/>
      <c r="L36" s="58"/>
      <c r="M36" s="59"/>
      <c r="N36" s="56"/>
      <c r="O36" s="56"/>
      <c r="P36" s="56"/>
      <c r="Q36" s="56"/>
      <c r="R36" s="57"/>
      <c r="S36" s="60"/>
      <c r="T36" s="61"/>
      <c r="U36" s="62"/>
      <c r="V36" s="63"/>
      <c r="W36" s="63"/>
      <c r="X36" s="64"/>
    </row>
    <row r="37" spans="1:24" s="42" customFormat="1" ht="15.75" customHeight="1">
      <c r="A37" s="55" t="s">
        <v>273</v>
      </c>
      <c r="B37" s="66" t="s">
        <v>142</v>
      </c>
      <c r="C37" s="56">
        <v>3</v>
      </c>
      <c r="D37" s="56">
        <v>8</v>
      </c>
      <c r="E37" s="56">
        <v>4</v>
      </c>
      <c r="F37" s="67" t="s">
        <v>383</v>
      </c>
      <c r="G37" s="56">
        <v>5</v>
      </c>
      <c r="H37" s="56">
        <v>3</v>
      </c>
      <c r="I37" s="56">
        <v>4</v>
      </c>
      <c r="J37" s="67" t="s">
        <v>90</v>
      </c>
      <c r="K37" s="57">
        <v>10</v>
      </c>
      <c r="L37" s="58"/>
      <c r="M37" s="59"/>
      <c r="N37" s="56"/>
      <c r="O37" s="68" t="s">
        <v>142</v>
      </c>
      <c r="P37" s="56">
        <v>1</v>
      </c>
      <c r="Q37" s="56" t="s">
        <v>114</v>
      </c>
      <c r="R37" s="56">
        <v>1</v>
      </c>
      <c r="S37" s="60" t="str">
        <f>VLOOKUP(T37,RW,$Z$414,FALSE)</f>
        <v>3+</v>
      </c>
      <c r="T37" s="69">
        <f>VLOOKUP(Q37,Ruestung,$Z$406,FALSE)+IF(R37=1,1,0)</f>
        <v>4</v>
      </c>
      <c r="U37" s="62" t="s">
        <v>307</v>
      </c>
      <c r="V37" s="63"/>
      <c r="W37" s="63">
        <f>305*IF(B37="-",0,B37)</f>
        <v>0</v>
      </c>
      <c r="X37" s="70" t="s">
        <v>89</v>
      </c>
    </row>
    <row r="38" spans="1:24" s="42" customFormat="1" ht="15.75" customHeight="1">
      <c r="A38" s="71" t="s">
        <v>272</v>
      </c>
      <c r="B38" s="56"/>
      <c r="C38" s="56"/>
      <c r="D38" s="56"/>
      <c r="E38" s="56"/>
      <c r="F38" s="56"/>
      <c r="G38" s="56"/>
      <c r="H38" s="56"/>
      <c r="I38" s="56"/>
      <c r="J38" s="56"/>
      <c r="K38" s="57"/>
      <c r="L38" s="58"/>
      <c r="M38" s="59"/>
      <c r="N38" s="56"/>
      <c r="O38" s="56"/>
      <c r="P38" s="56"/>
      <c r="Q38" s="56"/>
      <c r="R38" s="57"/>
      <c r="S38" s="60"/>
      <c r="T38" s="61"/>
      <c r="U38" s="62"/>
      <c r="V38" s="63"/>
      <c r="W38" s="63"/>
      <c r="X38" s="70" t="s">
        <v>23</v>
      </c>
    </row>
    <row r="39" spans="1:24" s="42" customFormat="1" ht="15.75" customHeight="1">
      <c r="A39" s="71"/>
      <c r="B39" s="56"/>
      <c r="C39" s="56"/>
      <c r="D39" s="56"/>
      <c r="E39" s="56"/>
      <c r="F39" s="56"/>
      <c r="G39" s="56"/>
      <c r="H39" s="56"/>
      <c r="I39" s="56"/>
      <c r="J39" s="56"/>
      <c r="K39" s="57"/>
      <c r="L39" s="58"/>
      <c r="M39" s="59"/>
      <c r="N39" s="56"/>
      <c r="O39" s="56"/>
      <c r="P39" s="56"/>
      <c r="Q39" s="56"/>
      <c r="R39" s="57"/>
      <c r="S39" s="60"/>
      <c r="T39" s="61"/>
      <c r="U39" s="62"/>
      <c r="V39" s="63"/>
      <c r="W39" s="63"/>
      <c r="X39" s="76" t="s">
        <v>48</v>
      </c>
    </row>
    <row r="40" spans="1:24" s="42" customFormat="1" ht="15.75" customHeight="1">
      <c r="A40" s="71"/>
      <c r="B40" s="56"/>
      <c r="C40" s="56"/>
      <c r="D40" s="56"/>
      <c r="E40" s="56"/>
      <c r="F40" s="56"/>
      <c r="G40" s="56"/>
      <c r="H40" s="56"/>
      <c r="I40" s="56"/>
      <c r="J40" s="56"/>
      <c r="K40" s="57"/>
      <c r="L40" s="58"/>
      <c r="M40" s="59"/>
      <c r="N40" s="56"/>
      <c r="O40" s="56"/>
      <c r="P40" s="56"/>
      <c r="Q40" s="56"/>
      <c r="R40" s="57"/>
      <c r="S40" s="60"/>
      <c r="T40" s="61"/>
      <c r="U40" s="62"/>
      <c r="V40" s="63"/>
      <c r="W40" s="63"/>
      <c r="X40" s="73" t="s">
        <v>49</v>
      </c>
    </row>
    <row r="41" spans="1:24" s="42" customFormat="1" ht="15.75" customHeight="1">
      <c r="A41" s="71"/>
      <c r="B41" s="56"/>
      <c r="C41" s="56"/>
      <c r="D41" s="56"/>
      <c r="E41" s="56"/>
      <c r="F41" s="56"/>
      <c r="G41" s="56"/>
      <c r="H41" s="56"/>
      <c r="I41" s="56"/>
      <c r="J41" s="56"/>
      <c r="K41" s="57"/>
      <c r="L41" s="58"/>
      <c r="M41" s="59"/>
      <c r="N41" s="56"/>
      <c r="O41" s="56"/>
      <c r="P41" s="56"/>
      <c r="Q41" s="56"/>
      <c r="R41" s="57"/>
      <c r="S41" s="60"/>
      <c r="T41" s="61"/>
      <c r="U41" s="62"/>
      <c r="V41" s="63"/>
      <c r="W41" s="63"/>
      <c r="X41" s="73" t="s">
        <v>403</v>
      </c>
    </row>
    <row r="42" spans="1:24" s="42" customFormat="1" ht="15.75" customHeight="1">
      <c r="A42" s="71"/>
      <c r="B42" s="56"/>
      <c r="C42" s="56"/>
      <c r="D42" s="56"/>
      <c r="E42" s="56"/>
      <c r="F42" s="56"/>
      <c r="G42" s="56"/>
      <c r="H42" s="56"/>
      <c r="I42" s="56"/>
      <c r="J42" s="56"/>
      <c r="K42" s="57"/>
      <c r="L42" s="58"/>
      <c r="M42" s="59"/>
      <c r="N42" s="56"/>
      <c r="O42" s="56"/>
      <c r="P42" s="56"/>
      <c r="Q42" s="56"/>
      <c r="R42" s="57"/>
      <c r="S42" s="60"/>
      <c r="T42" s="61"/>
      <c r="U42" s="62"/>
      <c r="V42" s="63"/>
      <c r="W42" s="63"/>
      <c r="X42" s="73" t="s">
        <v>404</v>
      </c>
    </row>
    <row r="43" spans="1:24" s="42" customFormat="1" ht="15.75" customHeight="1">
      <c r="A43" s="55"/>
      <c r="B43" s="56"/>
      <c r="C43" s="56"/>
      <c r="D43" s="56"/>
      <c r="E43" s="56"/>
      <c r="F43" s="56"/>
      <c r="G43" s="56"/>
      <c r="H43" s="56"/>
      <c r="I43" s="56"/>
      <c r="J43" s="56"/>
      <c r="K43" s="57"/>
      <c r="L43" s="58"/>
      <c r="M43" s="59"/>
      <c r="N43" s="56"/>
      <c r="O43" s="56"/>
      <c r="P43" s="56"/>
      <c r="Q43" s="56"/>
      <c r="R43" s="57"/>
      <c r="S43" s="60"/>
      <c r="T43" s="61"/>
      <c r="U43" s="62"/>
      <c r="V43" s="63"/>
      <c r="W43" s="63"/>
      <c r="X43" s="77"/>
    </row>
    <row r="44" spans="1:24" s="42" customFormat="1" ht="15.75" customHeight="1">
      <c r="A44" s="65"/>
      <c r="B44" s="56"/>
      <c r="C44" s="56"/>
      <c r="D44" s="56"/>
      <c r="E44" s="56"/>
      <c r="F44" s="56"/>
      <c r="G44" s="56"/>
      <c r="H44" s="56"/>
      <c r="I44" s="56"/>
      <c r="J44" s="56"/>
      <c r="K44" s="57"/>
      <c r="L44" s="58"/>
      <c r="M44" s="59"/>
      <c r="N44" s="56"/>
      <c r="O44" s="56"/>
      <c r="P44" s="56"/>
      <c r="Q44" s="56"/>
      <c r="R44" s="57"/>
      <c r="S44" s="60"/>
      <c r="T44" s="61"/>
      <c r="U44" s="62"/>
      <c r="V44" s="63"/>
      <c r="W44" s="63"/>
      <c r="X44" s="77"/>
    </row>
    <row r="45" spans="1:24" s="42" customFormat="1" ht="15.75" customHeight="1">
      <c r="A45" s="65" t="s">
        <v>350</v>
      </c>
      <c r="B45" s="66" t="s">
        <v>142</v>
      </c>
      <c r="C45" s="56">
        <v>3</v>
      </c>
      <c r="D45" s="56">
        <v>6</v>
      </c>
      <c r="E45" s="56">
        <v>4</v>
      </c>
      <c r="F45" s="56">
        <v>4</v>
      </c>
      <c r="G45" s="56">
        <v>5</v>
      </c>
      <c r="H45" s="56">
        <v>5</v>
      </c>
      <c r="I45" s="56">
        <v>3</v>
      </c>
      <c r="J45" s="56">
        <v>2</v>
      </c>
      <c r="K45" s="57">
        <v>10</v>
      </c>
      <c r="L45" s="58"/>
      <c r="M45" s="59"/>
      <c r="N45" s="56"/>
      <c r="O45" s="56">
        <v>1</v>
      </c>
      <c r="P45" s="68" t="s">
        <v>142</v>
      </c>
      <c r="Q45" s="56" t="s">
        <v>114</v>
      </c>
      <c r="R45" s="68" t="s">
        <v>142</v>
      </c>
      <c r="S45" s="60" t="s">
        <v>153</v>
      </c>
      <c r="T45" s="69"/>
      <c r="U45" s="62" t="s">
        <v>309</v>
      </c>
      <c r="V45" s="63"/>
      <c r="W45" s="63">
        <f>435*IF(B45="-",0,B45)</f>
        <v>0</v>
      </c>
      <c r="X45" s="70" t="s">
        <v>3</v>
      </c>
    </row>
    <row r="46" spans="1:24" s="42" customFormat="1" ht="15.75" customHeight="1">
      <c r="A46" s="71" t="s">
        <v>149</v>
      </c>
      <c r="B46" s="56"/>
      <c r="C46" s="56"/>
      <c r="D46" s="56"/>
      <c r="E46" s="56"/>
      <c r="F46" s="56"/>
      <c r="G46" s="56"/>
      <c r="H46" s="56"/>
      <c r="I46" s="56"/>
      <c r="J46" s="56"/>
      <c r="K46" s="57"/>
      <c r="L46" s="58"/>
      <c r="M46" s="59"/>
      <c r="N46" s="56"/>
      <c r="O46" s="56"/>
      <c r="P46" s="56"/>
      <c r="Q46" s="56"/>
      <c r="R46" s="57"/>
      <c r="S46" s="60"/>
      <c r="T46" s="61"/>
      <c r="U46" s="62"/>
      <c r="V46" s="63"/>
      <c r="W46" s="63"/>
      <c r="X46" s="70" t="s">
        <v>1</v>
      </c>
    </row>
    <row r="47" spans="1:24" s="42" customFormat="1" ht="15.75" customHeight="1">
      <c r="A47" s="71"/>
      <c r="B47" s="56"/>
      <c r="C47" s="56"/>
      <c r="D47" s="56"/>
      <c r="E47" s="56"/>
      <c r="F47" s="56"/>
      <c r="G47" s="56"/>
      <c r="H47" s="56"/>
      <c r="I47" s="56"/>
      <c r="J47" s="56"/>
      <c r="K47" s="57"/>
      <c r="L47" s="58"/>
      <c r="M47" s="59"/>
      <c r="N47" s="56"/>
      <c r="O47" s="56"/>
      <c r="P47" s="56"/>
      <c r="Q47" s="56"/>
      <c r="R47" s="57"/>
      <c r="S47" s="60"/>
      <c r="T47" s="61"/>
      <c r="U47" s="62"/>
      <c r="V47" s="63"/>
      <c r="W47" s="63"/>
      <c r="X47" s="70" t="s">
        <v>4</v>
      </c>
    </row>
    <row r="48" spans="1:24" s="42" customFormat="1" ht="15.75" customHeight="1">
      <c r="A48" s="71"/>
      <c r="B48" s="56"/>
      <c r="C48" s="56"/>
      <c r="D48" s="56"/>
      <c r="E48" s="56"/>
      <c r="F48" s="56"/>
      <c r="G48" s="56"/>
      <c r="H48" s="56"/>
      <c r="I48" s="56"/>
      <c r="J48" s="56"/>
      <c r="K48" s="57"/>
      <c r="L48" s="58"/>
      <c r="M48" s="59"/>
      <c r="N48" s="56"/>
      <c r="O48" s="56"/>
      <c r="P48" s="56"/>
      <c r="Q48" s="56"/>
      <c r="R48" s="57"/>
      <c r="S48" s="60"/>
      <c r="T48" s="61"/>
      <c r="U48" s="62"/>
      <c r="V48" s="63"/>
      <c r="W48" s="63"/>
      <c r="X48" s="70" t="s">
        <v>5</v>
      </c>
    </row>
    <row r="49" spans="1:24" s="42" customFormat="1" ht="15.75" customHeight="1">
      <c r="A49" s="65"/>
      <c r="B49" s="56"/>
      <c r="C49" s="56"/>
      <c r="D49" s="56"/>
      <c r="E49" s="56"/>
      <c r="F49" s="56"/>
      <c r="G49" s="56"/>
      <c r="H49" s="56"/>
      <c r="I49" s="56"/>
      <c r="J49" s="56"/>
      <c r="K49" s="57"/>
      <c r="L49" s="58"/>
      <c r="M49" s="59"/>
      <c r="N49" s="56"/>
      <c r="O49" s="56"/>
      <c r="P49" s="56"/>
      <c r="Q49" s="56"/>
      <c r="R49" s="57"/>
      <c r="S49" s="60"/>
      <c r="T49" s="61"/>
      <c r="U49" s="62"/>
      <c r="V49" s="63"/>
      <c r="W49" s="63"/>
      <c r="X49" s="70" t="s">
        <v>2</v>
      </c>
    </row>
    <row r="50" spans="1:24" s="42" customFormat="1" ht="15.75" customHeight="1">
      <c r="A50" s="71"/>
      <c r="B50" s="56"/>
      <c r="C50" s="56"/>
      <c r="D50" s="56"/>
      <c r="E50" s="56"/>
      <c r="F50" s="56"/>
      <c r="G50" s="56"/>
      <c r="H50" s="56"/>
      <c r="I50" s="56"/>
      <c r="J50" s="56"/>
      <c r="K50" s="57"/>
      <c r="L50" s="58"/>
      <c r="M50" s="59"/>
      <c r="N50" s="56"/>
      <c r="O50" s="56"/>
      <c r="P50" s="56"/>
      <c r="Q50" s="56"/>
      <c r="R50" s="57"/>
      <c r="S50" s="60"/>
      <c r="T50" s="69"/>
      <c r="U50" s="62"/>
      <c r="V50" s="63"/>
      <c r="W50" s="63"/>
      <c r="X50" s="73" t="s">
        <v>8</v>
      </c>
    </row>
    <row r="51" spans="1:24" s="42" customFormat="1" ht="15.75" customHeight="1">
      <c r="A51" s="65"/>
      <c r="B51" s="56"/>
      <c r="C51" s="56"/>
      <c r="D51" s="56"/>
      <c r="E51" s="56"/>
      <c r="F51" s="56"/>
      <c r="G51" s="56"/>
      <c r="H51" s="56"/>
      <c r="I51" s="56"/>
      <c r="J51" s="56"/>
      <c r="K51" s="57"/>
      <c r="L51" s="58"/>
      <c r="M51" s="59"/>
      <c r="N51" s="56"/>
      <c r="O51" s="56"/>
      <c r="P51" s="56"/>
      <c r="Q51" s="56"/>
      <c r="R51" s="57"/>
      <c r="S51" s="60"/>
      <c r="T51" s="61"/>
      <c r="U51" s="62"/>
      <c r="V51" s="63"/>
      <c r="W51" s="63"/>
      <c r="X51" s="77" t="s">
        <v>9</v>
      </c>
    </row>
    <row r="52" spans="1:24" s="42" customFormat="1" ht="15.75" customHeight="1">
      <c r="A52" s="71"/>
      <c r="B52" s="56"/>
      <c r="C52" s="56"/>
      <c r="D52" s="56"/>
      <c r="E52" s="56"/>
      <c r="F52" s="56"/>
      <c r="G52" s="56"/>
      <c r="H52" s="56"/>
      <c r="I52" s="56"/>
      <c r="J52" s="56"/>
      <c r="K52" s="57"/>
      <c r="L52" s="58"/>
      <c r="M52" s="59"/>
      <c r="N52" s="56"/>
      <c r="O52" s="56"/>
      <c r="P52" s="56"/>
      <c r="Q52" s="56"/>
      <c r="R52" s="57"/>
      <c r="S52" s="60"/>
      <c r="T52" s="61"/>
      <c r="U52" s="62"/>
      <c r="V52" s="63"/>
      <c r="W52" s="63"/>
      <c r="X52" s="77" t="s">
        <v>6</v>
      </c>
    </row>
    <row r="53" spans="1:24" s="42" customFormat="1" ht="15.75" customHeight="1">
      <c r="A53" s="65"/>
      <c r="B53" s="56"/>
      <c r="C53" s="56"/>
      <c r="D53" s="56"/>
      <c r="E53" s="56"/>
      <c r="F53" s="56"/>
      <c r="G53" s="56"/>
      <c r="H53" s="56"/>
      <c r="I53" s="56"/>
      <c r="J53" s="56"/>
      <c r="K53" s="57"/>
      <c r="L53" s="58"/>
      <c r="M53" s="59"/>
      <c r="N53" s="56"/>
      <c r="O53" s="56"/>
      <c r="P53" s="56"/>
      <c r="Q53" s="56"/>
      <c r="R53" s="57"/>
      <c r="S53" s="60"/>
      <c r="T53" s="61"/>
      <c r="U53" s="62"/>
      <c r="V53" s="63"/>
      <c r="W53" s="63"/>
      <c r="X53" s="77" t="s">
        <v>7</v>
      </c>
    </row>
    <row r="54" spans="1:24" s="42" customFormat="1" ht="15.75" customHeight="1">
      <c r="A54" s="71" t="s">
        <v>162</v>
      </c>
      <c r="B54" s="72" t="str">
        <f>B45</f>
        <v>-</v>
      </c>
      <c r="C54" s="68" t="s">
        <v>142</v>
      </c>
      <c r="D54" s="68" t="s">
        <v>142</v>
      </c>
      <c r="E54" s="68" t="s">
        <v>142</v>
      </c>
      <c r="F54" s="68" t="s">
        <v>142</v>
      </c>
      <c r="G54" s="68" t="s">
        <v>142</v>
      </c>
      <c r="H54" s="68" t="s">
        <v>142</v>
      </c>
      <c r="I54" s="68" t="s">
        <v>142</v>
      </c>
      <c r="J54" s="68" t="s">
        <v>142</v>
      </c>
      <c r="K54" s="68" t="s">
        <v>142</v>
      </c>
      <c r="L54" s="58"/>
      <c r="M54" s="59"/>
      <c r="N54" s="56"/>
      <c r="O54" s="56"/>
      <c r="P54" s="78"/>
      <c r="Q54" s="56"/>
      <c r="R54" s="57"/>
      <c r="S54" s="79"/>
      <c r="T54" s="56"/>
      <c r="U54" s="62" t="s">
        <v>309</v>
      </c>
      <c r="V54" s="63"/>
      <c r="W54" s="63"/>
      <c r="X54" s="76" t="s">
        <v>70</v>
      </c>
    </row>
    <row r="55" spans="1:24" s="42" customFormat="1" ht="15.75" customHeight="1">
      <c r="A55" s="71"/>
      <c r="B55" s="72"/>
      <c r="C55" s="56"/>
      <c r="D55" s="56"/>
      <c r="E55" s="56"/>
      <c r="F55" s="56"/>
      <c r="G55" s="56"/>
      <c r="H55" s="56"/>
      <c r="I55" s="56"/>
      <c r="J55" s="56"/>
      <c r="K55" s="57"/>
      <c r="L55" s="58"/>
      <c r="M55" s="59"/>
      <c r="N55" s="56"/>
      <c r="O55" s="56"/>
      <c r="P55" s="78"/>
      <c r="Q55" s="56"/>
      <c r="R55" s="57"/>
      <c r="S55" s="79"/>
      <c r="T55" s="56"/>
      <c r="U55" s="62"/>
      <c r="V55" s="63"/>
      <c r="W55" s="63"/>
      <c r="X55" s="76" t="s">
        <v>71</v>
      </c>
    </row>
    <row r="56" spans="1:24" s="42" customFormat="1" ht="15.75" customHeight="1">
      <c r="A56" s="71"/>
      <c r="B56" s="72"/>
      <c r="C56" s="56"/>
      <c r="D56" s="56"/>
      <c r="E56" s="56"/>
      <c r="F56" s="56"/>
      <c r="G56" s="56"/>
      <c r="H56" s="56"/>
      <c r="I56" s="56"/>
      <c r="J56" s="56"/>
      <c r="K56" s="57"/>
      <c r="L56" s="58"/>
      <c r="M56" s="59"/>
      <c r="N56" s="56"/>
      <c r="O56" s="56"/>
      <c r="P56" s="78"/>
      <c r="Q56" s="56"/>
      <c r="R56" s="57"/>
      <c r="S56" s="79"/>
      <c r="T56" s="56"/>
      <c r="U56" s="62"/>
      <c r="V56" s="63"/>
      <c r="W56" s="63"/>
      <c r="X56" s="73" t="s">
        <v>31</v>
      </c>
    </row>
    <row r="57" spans="1:24" s="42" customFormat="1" ht="15.75" customHeight="1">
      <c r="A57" s="71"/>
      <c r="B57" s="56"/>
      <c r="C57" s="56"/>
      <c r="D57" s="56"/>
      <c r="E57" s="56"/>
      <c r="F57" s="56"/>
      <c r="G57" s="56"/>
      <c r="H57" s="56"/>
      <c r="I57" s="56"/>
      <c r="J57" s="56"/>
      <c r="K57" s="57"/>
      <c r="L57" s="58"/>
      <c r="M57" s="59"/>
      <c r="N57" s="56"/>
      <c r="O57" s="56"/>
      <c r="P57" s="56"/>
      <c r="Q57" s="56"/>
      <c r="R57" s="57"/>
      <c r="S57" s="60"/>
      <c r="T57" s="56"/>
      <c r="U57" s="62"/>
      <c r="V57" s="63"/>
      <c r="W57" s="63"/>
      <c r="X57" s="73" t="s">
        <v>32</v>
      </c>
    </row>
    <row r="58" spans="1:24" s="42" customFormat="1" ht="15.75" customHeight="1">
      <c r="A58" s="71"/>
      <c r="B58" s="56"/>
      <c r="C58" s="56"/>
      <c r="D58" s="56"/>
      <c r="E58" s="56"/>
      <c r="F58" s="56"/>
      <c r="G58" s="56"/>
      <c r="H58" s="56"/>
      <c r="I58" s="56"/>
      <c r="J58" s="56"/>
      <c r="K58" s="57"/>
      <c r="L58" s="58"/>
      <c r="M58" s="59"/>
      <c r="N58" s="56"/>
      <c r="O58" s="56"/>
      <c r="P58" s="56"/>
      <c r="Q58" s="56"/>
      <c r="R58" s="57"/>
      <c r="S58" s="60"/>
      <c r="T58" s="56"/>
      <c r="U58" s="62"/>
      <c r="V58" s="63"/>
      <c r="W58" s="63"/>
      <c r="X58" s="73" t="s">
        <v>33</v>
      </c>
    </row>
    <row r="59" spans="1:24" s="42" customFormat="1" ht="15.75" customHeight="1">
      <c r="A59" s="71"/>
      <c r="B59" s="56"/>
      <c r="C59" s="56"/>
      <c r="D59" s="56"/>
      <c r="E59" s="56"/>
      <c r="F59" s="56"/>
      <c r="G59" s="56"/>
      <c r="H59" s="56"/>
      <c r="I59" s="56"/>
      <c r="J59" s="56"/>
      <c r="K59" s="57"/>
      <c r="L59" s="58"/>
      <c r="M59" s="59"/>
      <c r="N59" s="56"/>
      <c r="O59" s="56"/>
      <c r="P59" s="56"/>
      <c r="Q59" s="56"/>
      <c r="R59" s="57"/>
      <c r="S59" s="60"/>
      <c r="T59" s="56"/>
      <c r="U59" s="62"/>
      <c r="V59" s="63"/>
      <c r="W59" s="63"/>
      <c r="X59" s="73" t="s">
        <v>47</v>
      </c>
    </row>
    <row r="60" spans="1:24" s="42" customFormat="1" ht="15.75" customHeight="1">
      <c r="A60" s="71"/>
      <c r="B60" s="56"/>
      <c r="C60" s="56"/>
      <c r="D60" s="56"/>
      <c r="E60" s="56"/>
      <c r="F60" s="56"/>
      <c r="G60" s="56"/>
      <c r="H60" s="56"/>
      <c r="I60" s="56"/>
      <c r="J60" s="56"/>
      <c r="K60" s="57"/>
      <c r="L60" s="58"/>
      <c r="M60" s="59"/>
      <c r="N60" s="56"/>
      <c r="O60" s="56"/>
      <c r="P60" s="56"/>
      <c r="Q60" s="56"/>
      <c r="R60" s="57"/>
      <c r="S60" s="60"/>
      <c r="T60" s="56"/>
      <c r="U60" s="62"/>
      <c r="V60" s="63"/>
      <c r="W60" s="63"/>
      <c r="X60" s="80" t="s">
        <v>34</v>
      </c>
    </row>
    <row r="61" spans="1:33" s="42" customFormat="1" ht="15.75" customHeight="1">
      <c r="A61" s="71"/>
      <c r="B61" s="56"/>
      <c r="C61" s="56"/>
      <c r="D61" s="56"/>
      <c r="E61" s="56"/>
      <c r="F61" s="56"/>
      <c r="G61" s="56"/>
      <c r="H61" s="56"/>
      <c r="I61" s="56"/>
      <c r="J61" s="56"/>
      <c r="K61" s="57"/>
      <c r="L61" s="58"/>
      <c r="M61" s="59"/>
      <c r="N61" s="56"/>
      <c r="O61" s="56"/>
      <c r="P61" s="56"/>
      <c r="Q61" s="56"/>
      <c r="R61" s="57"/>
      <c r="S61" s="60"/>
      <c r="T61" s="56"/>
      <c r="U61" s="62"/>
      <c r="V61" s="63"/>
      <c r="W61" s="63"/>
      <c r="X61" s="73" t="s">
        <v>35</v>
      </c>
      <c r="AA61" s="81"/>
      <c r="AB61" s="81"/>
      <c r="AC61" s="81"/>
      <c r="AD61" s="81"/>
      <c r="AE61" s="81"/>
      <c r="AF61" s="81"/>
      <c r="AG61" s="81"/>
    </row>
    <row r="62" spans="1:33" s="42" customFormat="1" ht="15.75" customHeight="1">
      <c r="A62" s="71"/>
      <c r="B62" s="56"/>
      <c r="C62" s="56"/>
      <c r="D62" s="56"/>
      <c r="E62" s="56"/>
      <c r="F62" s="56"/>
      <c r="G62" s="56"/>
      <c r="H62" s="56"/>
      <c r="I62" s="56"/>
      <c r="J62" s="56"/>
      <c r="K62" s="57"/>
      <c r="L62" s="58"/>
      <c r="M62" s="59"/>
      <c r="N62" s="56"/>
      <c r="O62" s="56"/>
      <c r="P62" s="56"/>
      <c r="Q62" s="56"/>
      <c r="R62" s="57"/>
      <c r="S62" s="60"/>
      <c r="T62" s="56"/>
      <c r="U62" s="62"/>
      <c r="V62" s="63"/>
      <c r="W62" s="63"/>
      <c r="X62" s="73" t="s">
        <v>36</v>
      </c>
      <c r="Z62" s="81"/>
      <c r="AA62" s="81"/>
      <c r="AB62" s="81"/>
      <c r="AC62" s="81"/>
      <c r="AD62" s="81"/>
      <c r="AE62" s="81"/>
      <c r="AF62" s="81"/>
      <c r="AG62" s="81"/>
    </row>
    <row r="63" spans="1:33" s="42" customFormat="1" ht="15.75" customHeight="1">
      <c r="A63" s="71" t="s">
        <v>308</v>
      </c>
      <c r="B63" s="72" t="str">
        <f>IF(B54="-","-",B54*2)</f>
        <v>-</v>
      </c>
      <c r="C63" s="56">
        <v>3</v>
      </c>
      <c r="D63" s="56">
        <v>5</v>
      </c>
      <c r="E63" s="56">
        <v>3</v>
      </c>
      <c r="F63" s="56">
        <v>4</v>
      </c>
      <c r="G63" s="68" t="s">
        <v>142</v>
      </c>
      <c r="H63" s="68" t="s">
        <v>142</v>
      </c>
      <c r="I63" s="56">
        <v>2</v>
      </c>
      <c r="J63" s="56">
        <v>1</v>
      </c>
      <c r="K63" s="68" t="s">
        <v>142</v>
      </c>
      <c r="L63" s="58"/>
      <c r="M63" s="59"/>
      <c r="N63" s="56"/>
      <c r="O63" s="56">
        <v>1</v>
      </c>
      <c r="P63" s="68" t="s">
        <v>142</v>
      </c>
      <c r="Q63" s="56" t="s">
        <v>114</v>
      </c>
      <c r="R63" s="57">
        <v>1</v>
      </c>
      <c r="S63" s="60" t="str">
        <f>VLOOKUP(T63,RW,$Z$414,FALSE)</f>
        <v>3+</v>
      </c>
      <c r="T63" s="69">
        <f>VLOOKUP(Q63,Ruestung,$Z$406,FALSE)+IF(R63=1,1,0)</f>
        <v>4</v>
      </c>
      <c r="U63" s="62" t="s">
        <v>309</v>
      </c>
      <c r="V63" s="63"/>
      <c r="W63" s="63"/>
      <c r="X63" s="80" t="s">
        <v>10</v>
      </c>
      <c r="Z63" s="81"/>
      <c r="AA63" s="81"/>
      <c r="AB63" s="81"/>
      <c r="AC63" s="81"/>
      <c r="AD63" s="81"/>
      <c r="AE63" s="81"/>
      <c r="AF63" s="81"/>
      <c r="AG63" s="81"/>
    </row>
    <row r="64" spans="1:33" s="42" customFormat="1" ht="15.75" customHeight="1">
      <c r="A64" s="65"/>
      <c r="B64" s="56"/>
      <c r="C64" s="56"/>
      <c r="D64" s="56"/>
      <c r="E64" s="56"/>
      <c r="F64" s="56"/>
      <c r="G64" s="56"/>
      <c r="H64" s="56"/>
      <c r="I64" s="56"/>
      <c r="J64" s="56"/>
      <c r="K64" s="57"/>
      <c r="L64" s="58"/>
      <c r="M64" s="59"/>
      <c r="N64" s="56"/>
      <c r="O64" s="56"/>
      <c r="P64" s="56"/>
      <c r="Q64" s="56"/>
      <c r="R64" s="57"/>
      <c r="S64" s="60"/>
      <c r="T64" s="61"/>
      <c r="U64" s="62"/>
      <c r="V64" s="63"/>
      <c r="W64" s="63"/>
      <c r="X64" s="77"/>
      <c r="Z64" s="81"/>
      <c r="AA64" s="81"/>
      <c r="AB64" s="81"/>
      <c r="AC64" s="81"/>
      <c r="AD64" s="81"/>
      <c r="AE64" s="81"/>
      <c r="AF64" s="81"/>
      <c r="AG64" s="81"/>
    </row>
    <row r="65" spans="1:33" s="42" customFormat="1" ht="15.75" customHeight="1">
      <c r="A65" s="65"/>
      <c r="B65" s="56"/>
      <c r="C65" s="56"/>
      <c r="D65" s="56"/>
      <c r="E65" s="56"/>
      <c r="F65" s="56"/>
      <c r="G65" s="56"/>
      <c r="H65" s="56"/>
      <c r="I65" s="56"/>
      <c r="J65" s="56"/>
      <c r="K65" s="57"/>
      <c r="L65" s="58"/>
      <c r="M65" s="59"/>
      <c r="N65" s="56"/>
      <c r="O65" s="56"/>
      <c r="P65" s="56"/>
      <c r="Q65" s="56"/>
      <c r="R65" s="57"/>
      <c r="S65" s="60"/>
      <c r="T65" s="61"/>
      <c r="U65" s="62"/>
      <c r="V65" s="63"/>
      <c r="W65" s="63"/>
      <c r="X65" s="77"/>
      <c r="Z65" s="81"/>
      <c r="AA65" s="81"/>
      <c r="AB65" s="81"/>
      <c r="AC65" s="81"/>
      <c r="AD65" s="81"/>
      <c r="AE65" s="81"/>
      <c r="AF65" s="81"/>
      <c r="AG65" s="81"/>
    </row>
    <row r="66" spans="1:33" s="42" customFormat="1" ht="24.75" customHeight="1">
      <c r="A66" s="82" t="s">
        <v>270</v>
      </c>
      <c r="B66" s="83" t="s">
        <v>147</v>
      </c>
      <c r="C66" s="84" t="s">
        <v>145</v>
      </c>
      <c r="D66" s="84" t="s">
        <v>253</v>
      </c>
      <c r="E66" s="84" t="s">
        <v>206</v>
      </c>
      <c r="F66" s="84" t="s">
        <v>318</v>
      </c>
      <c r="G66" s="84" t="s">
        <v>146</v>
      </c>
      <c r="H66" s="84" t="s">
        <v>207</v>
      </c>
      <c r="I66" s="84" t="s">
        <v>208</v>
      </c>
      <c r="J66" s="84" t="s">
        <v>209</v>
      </c>
      <c r="K66" s="84" t="s">
        <v>210</v>
      </c>
      <c r="L66" s="85"/>
      <c r="M66" s="84" t="s">
        <v>139</v>
      </c>
      <c r="N66" s="84" t="s">
        <v>140</v>
      </c>
      <c r="O66" s="84" t="s">
        <v>311</v>
      </c>
      <c r="P66" s="84" t="s">
        <v>312</v>
      </c>
      <c r="Q66" s="84" t="s">
        <v>103</v>
      </c>
      <c r="R66" s="84" t="s">
        <v>105</v>
      </c>
      <c r="S66" s="86" t="s">
        <v>343</v>
      </c>
      <c r="T66" s="87" t="s">
        <v>130</v>
      </c>
      <c r="U66" s="88" t="s">
        <v>104</v>
      </c>
      <c r="V66" s="89" t="s">
        <v>187</v>
      </c>
      <c r="W66" s="90" t="s">
        <v>322</v>
      </c>
      <c r="X66" s="88" t="s">
        <v>410</v>
      </c>
      <c r="Z66" s="81"/>
      <c r="AA66" s="81"/>
      <c r="AB66" s="81"/>
      <c r="AC66" s="81"/>
      <c r="AD66" s="81"/>
      <c r="AE66" s="81"/>
      <c r="AF66" s="81"/>
      <c r="AG66" s="81"/>
    </row>
    <row r="67" spans="1:33" s="42" customFormat="1" ht="15.75" customHeight="1">
      <c r="A67" s="91"/>
      <c r="B67" s="56"/>
      <c r="C67" s="56"/>
      <c r="D67" s="56"/>
      <c r="E67" s="56"/>
      <c r="F67" s="56"/>
      <c r="G67" s="56"/>
      <c r="H67" s="56"/>
      <c r="I67" s="56"/>
      <c r="J67" s="56"/>
      <c r="K67" s="57"/>
      <c r="L67" s="92"/>
      <c r="M67" s="59"/>
      <c r="N67" s="56"/>
      <c r="O67" s="56"/>
      <c r="P67" s="56"/>
      <c r="Q67" s="56"/>
      <c r="R67" s="57"/>
      <c r="S67" s="60"/>
      <c r="T67" s="61"/>
      <c r="U67" s="62"/>
      <c r="V67" s="63"/>
      <c r="W67" s="63"/>
      <c r="X67" s="64"/>
      <c r="Z67" s="81"/>
      <c r="AA67" s="81"/>
      <c r="AB67" s="81"/>
      <c r="AC67" s="81"/>
      <c r="AD67" s="81"/>
      <c r="AE67" s="81"/>
      <c r="AF67" s="81"/>
      <c r="AG67" s="81"/>
    </row>
    <row r="68" spans="1:33" s="42" customFormat="1" ht="15.75" customHeight="1">
      <c r="A68" s="91"/>
      <c r="B68" s="56"/>
      <c r="C68" s="56"/>
      <c r="D68" s="56"/>
      <c r="E68" s="56"/>
      <c r="F68" s="56"/>
      <c r="G68" s="56"/>
      <c r="H68" s="56"/>
      <c r="I68" s="56"/>
      <c r="J68" s="56"/>
      <c r="K68" s="57"/>
      <c r="L68" s="92"/>
      <c r="M68" s="59"/>
      <c r="N68" s="56"/>
      <c r="O68" s="56"/>
      <c r="P68" s="56"/>
      <c r="Q68" s="56"/>
      <c r="R68" s="57"/>
      <c r="S68" s="60"/>
      <c r="T68" s="61"/>
      <c r="U68" s="62"/>
      <c r="V68" s="63"/>
      <c r="W68" s="63"/>
      <c r="X68" s="64"/>
      <c r="Z68" s="81"/>
      <c r="AA68" s="81"/>
      <c r="AB68" s="81"/>
      <c r="AC68" s="81"/>
      <c r="AD68" s="81"/>
      <c r="AE68" s="81"/>
      <c r="AF68" s="81"/>
      <c r="AG68" s="81"/>
    </row>
    <row r="69" spans="1:27" s="42" customFormat="1" ht="15.75" customHeight="1">
      <c r="A69" s="91" t="s">
        <v>82</v>
      </c>
      <c r="B69" s="66" t="s">
        <v>142</v>
      </c>
      <c r="C69" s="56">
        <v>3</v>
      </c>
      <c r="D69" s="56">
        <v>7</v>
      </c>
      <c r="E69" s="56">
        <v>4</v>
      </c>
      <c r="F69" s="56">
        <v>4</v>
      </c>
      <c r="G69" s="56">
        <v>5</v>
      </c>
      <c r="H69" s="56">
        <v>5</v>
      </c>
      <c r="I69" s="56">
        <v>4</v>
      </c>
      <c r="J69" s="56">
        <v>6</v>
      </c>
      <c r="K69" s="57">
        <v>10</v>
      </c>
      <c r="L69" s="92"/>
      <c r="M69" s="59"/>
      <c r="N69" s="56"/>
      <c r="O69" s="68" t="s">
        <v>142</v>
      </c>
      <c r="P69" s="56">
        <v>1</v>
      </c>
      <c r="Q69" s="56">
        <v>1</v>
      </c>
      <c r="R69" s="57">
        <v>1</v>
      </c>
      <c r="S69" s="60" t="s">
        <v>307</v>
      </c>
      <c r="T69" s="69"/>
      <c r="U69" s="62" t="s">
        <v>309</v>
      </c>
      <c r="V69" s="62"/>
      <c r="W69" s="63">
        <f>IF(B69="-",0,B69)*425</f>
        <v>0</v>
      </c>
      <c r="X69" s="76" t="s">
        <v>29</v>
      </c>
      <c r="Z69" s="93"/>
      <c r="AA69" s="93"/>
    </row>
    <row r="70" spans="1:24" s="42" customFormat="1" ht="15.75" customHeight="1">
      <c r="A70" s="91" t="s">
        <v>252</v>
      </c>
      <c r="B70" s="56"/>
      <c r="C70" s="56"/>
      <c r="D70" s="56"/>
      <c r="E70" s="56"/>
      <c r="F70" s="56"/>
      <c r="G70" s="56"/>
      <c r="H70" s="56"/>
      <c r="I70" s="56"/>
      <c r="J70" s="56"/>
      <c r="K70" s="57"/>
      <c r="L70" s="92"/>
      <c r="M70" s="59"/>
      <c r="N70" s="56"/>
      <c r="O70" s="56"/>
      <c r="P70" s="56"/>
      <c r="Q70" s="56"/>
      <c r="R70" s="57"/>
      <c r="S70" s="60"/>
      <c r="T70" s="61"/>
      <c r="U70" s="62" t="s">
        <v>118</v>
      </c>
      <c r="V70" s="63"/>
      <c r="W70" s="63"/>
      <c r="X70" s="76" t="s">
        <v>30</v>
      </c>
    </row>
    <row r="71" spans="1:24" s="42" customFormat="1" ht="15.75" customHeight="1">
      <c r="A71" s="91"/>
      <c r="B71" s="56"/>
      <c r="C71" s="56"/>
      <c r="D71" s="56"/>
      <c r="E71" s="56"/>
      <c r="F71" s="56"/>
      <c r="G71" s="56"/>
      <c r="H71" s="56"/>
      <c r="I71" s="56"/>
      <c r="J71" s="56"/>
      <c r="K71" s="57"/>
      <c r="L71" s="92"/>
      <c r="M71" s="59"/>
      <c r="N71" s="56"/>
      <c r="O71" s="56"/>
      <c r="P71" s="56"/>
      <c r="Q71" s="56"/>
      <c r="R71" s="57"/>
      <c r="S71" s="60"/>
      <c r="T71" s="61"/>
      <c r="U71" s="62"/>
      <c r="V71" s="63"/>
      <c r="W71" s="63"/>
      <c r="X71" s="76" t="s">
        <v>11</v>
      </c>
    </row>
    <row r="72" spans="1:24" s="42" customFormat="1" ht="15.75" customHeight="1">
      <c r="A72" s="91"/>
      <c r="B72" s="56"/>
      <c r="C72" s="56"/>
      <c r="D72" s="56"/>
      <c r="E72" s="56"/>
      <c r="F72" s="56"/>
      <c r="G72" s="56"/>
      <c r="H72" s="56"/>
      <c r="I72" s="56"/>
      <c r="J72" s="56"/>
      <c r="K72" s="57"/>
      <c r="L72" s="92"/>
      <c r="M72" s="59"/>
      <c r="N72" s="56"/>
      <c r="O72" s="56"/>
      <c r="P72" s="56"/>
      <c r="Q72" s="56"/>
      <c r="R72" s="57"/>
      <c r="S72" s="60"/>
      <c r="T72" s="61"/>
      <c r="U72" s="62"/>
      <c r="V72" s="63"/>
      <c r="W72" s="63"/>
      <c r="X72" s="73" t="s">
        <v>12</v>
      </c>
    </row>
    <row r="73" spans="1:24" s="42" customFormat="1" ht="15.75" customHeight="1">
      <c r="A73" s="91"/>
      <c r="B73" s="56"/>
      <c r="C73" s="56"/>
      <c r="D73" s="56"/>
      <c r="E73" s="56"/>
      <c r="F73" s="56"/>
      <c r="G73" s="56"/>
      <c r="H73" s="56"/>
      <c r="I73" s="56"/>
      <c r="J73" s="56"/>
      <c r="K73" s="57"/>
      <c r="L73" s="92"/>
      <c r="M73" s="59"/>
      <c r="N73" s="56"/>
      <c r="O73" s="56"/>
      <c r="P73" s="56"/>
      <c r="Q73" s="56"/>
      <c r="R73" s="57"/>
      <c r="S73" s="60"/>
      <c r="T73" s="61"/>
      <c r="U73" s="62"/>
      <c r="V73" s="63"/>
      <c r="W73" s="63"/>
      <c r="X73" s="73" t="s">
        <v>13</v>
      </c>
    </row>
    <row r="74" spans="1:24" s="42" customFormat="1" ht="15.75" customHeight="1">
      <c r="A74" s="91"/>
      <c r="B74" s="56"/>
      <c r="C74" s="56"/>
      <c r="D74" s="56"/>
      <c r="E74" s="56"/>
      <c r="F74" s="56"/>
      <c r="G74" s="56"/>
      <c r="H74" s="56"/>
      <c r="I74" s="56"/>
      <c r="J74" s="56"/>
      <c r="K74" s="57"/>
      <c r="L74" s="92"/>
      <c r="M74" s="59"/>
      <c r="N74" s="56"/>
      <c r="O74" s="56"/>
      <c r="P74" s="56"/>
      <c r="Q74" s="56"/>
      <c r="R74" s="57"/>
      <c r="S74" s="60"/>
      <c r="T74" s="61"/>
      <c r="U74" s="62"/>
      <c r="V74" s="63"/>
      <c r="W74" s="63"/>
      <c r="X74" s="73" t="s">
        <v>14</v>
      </c>
    </row>
    <row r="75" spans="1:24" s="42" customFormat="1" ht="15.75" customHeight="1">
      <c r="A75" s="91"/>
      <c r="B75" s="56"/>
      <c r="C75" s="56"/>
      <c r="D75" s="56"/>
      <c r="E75" s="56"/>
      <c r="F75" s="56"/>
      <c r="G75" s="56"/>
      <c r="H75" s="56"/>
      <c r="I75" s="56"/>
      <c r="J75" s="56"/>
      <c r="K75" s="57"/>
      <c r="L75" s="92"/>
      <c r="M75" s="59"/>
      <c r="N75" s="56"/>
      <c r="O75" s="56"/>
      <c r="P75" s="56"/>
      <c r="Q75" s="56"/>
      <c r="R75" s="57"/>
      <c r="S75" s="60"/>
      <c r="T75" s="61"/>
      <c r="U75" s="62"/>
      <c r="V75" s="63"/>
      <c r="W75" s="63"/>
      <c r="X75" s="73" t="s">
        <v>246</v>
      </c>
    </row>
    <row r="76" spans="1:24" s="42" customFormat="1" ht="15.75" customHeight="1">
      <c r="A76" s="91"/>
      <c r="B76" s="56"/>
      <c r="C76" s="56"/>
      <c r="D76" s="56"/>
      <c r="E76" s="56"/>
      <c r="F76" s="56"/>
      <c r="G76" s="56"/>
      <c r="H76" s="56"/>
      <c r="I76" s="56"/>
      <c r="J76" s="56"/>
      <c r="K76" s="57"/>
      <c r="L76" s="92"/>
      <c r="M76" s="59"/>
      <c r="N76" s="56"/>
      <c r="O76" s="56"/>
      <c r="P76" s="56"/>
      <c r="Q76" s="56"/>
      <c r="R76" s="57"/>
      <c r="S76" s="60"/>
      <c r="T76" s="61"/>
      <c r="U76" s="62"/>
      <c r="V76" s="63"/>
      <c r="W76" s="63"/>
      <c r="X76" s="64"/>
    </row>
    <row r="77" spans="1:33" s="42" customFormat="1" ht="15.75" customHeight="1">
      <c r="A77" s="91"/>
      <c r="B77" s="56"/>
      <c r="C77" s="56"/>
      <c r="D77" s="56"/>
      <c r="E77" s="56"/>
      <c r="F77" s="56"/>
      <c r="G77" s="56"/>
      <c r="H77" s="56"/>
      <c r="I77" s="56"/>
      <c r="J77" s="56"/>
      <c r="K77" s="57"/>
      <c r="L77" s="92"/>
      <c r="M77" s="59"/>
      <c r="N77" s="56"/>
      <c r="O77" s="56"/>
      <c r="P77" s="56"/>
      <c r="Q77" s="56"/>
      <c r="R77" s="57"/>
      <c r="S77" s="60"/>
      <c r="T77" s="61"/>
      <c r="U77" s="62"/>
      <c r="V77" s="63"/>
      <c r="W77" s="63"/>
      <c r="X77" s="64"/>
      <c r="Z77" s="81"/>
      <c r="AA77" s="81"/>
      <c r="AB77" s="81"/>
      <c r="AC77" s="81"/>
      <c r="AD77" s="81"/>
      <c r="AE77" s="81"/>
      <c r="AF77" s="81"/>
      <c r="AG77" s="81"/>
    </row>
    <row r="78" spans="1:33" s="42" customFormat="1" ht="15.75" customHeight="1">
      <c r="A78" s="91" t="s">
        <v>213</v>
      </c>
      <c r="B78" s="66" t="s">
        <v>142</v>
      </c>
      <c r="C78" s="56">
        <v>3</v>
      </c>
      <c r="D78" s="67" t="s">
        <v>121</v>
      </c>
      <c r="E78" s="56">
        <v>4</v>
      </c>
      <c r="F78" s="56">
        <v>5</v>
      </c>
      <c r="G78" s="67" t="s">
        <v>122</v>
      </c>
      <c r="H78" s="56">
        <v>3</v>
      </c>
      <c r="I78" s="56">
        <v>4</v>
      </c>
      <c r="J78" s="56">
        <v>4</v>
      </c>
      <c r="K78" s="57">
        <v>10</v>
      </c>
      <c r="L78" s="92"/>
      <c r="M78" s="59"/>
      <c r="N78" s="56"/>
      <c r="O78" s="56">
        <v>1</v>
      </c>
      <c r="P78" s="68" t="s">
        <v>142</v>
      </c>
      <c r="Q78" s="56" t="s">
        <v>114</v>
      </c>
      <c r="R78" s="68" t="s">
        <v>142</v>
      </c>
      <c r="S78" s="60" t="s">
        <v>153</v>
      </c>
      <c r="T78" s="69"/>
      <c r="U78" s="62"/>
      <c r="V78" s="63"/>
      <c r="W78" s="63">
        <f>425*IF(B78="-",0,B78)</f>
        <v>0</v>
      </c>
      <c r="X78" s="76" t="s">
        <v>26</v>
      </c>
      <c r="Z78" s="81"/>
      <c r="AA78" s="81"/>
      <c r="AB78" s="81"/>
      <c r="AC78" s="81"/>
      <c r="AD78" s="81"/>
      <c r="AE78" s="81"/>
      <c r="AF78" s="81"/>
      <c r="AG78" s="81"/>
    </row>
    <row r="79" spans="1:33" s="42" customFormat="1" ht="15.75" customHeight="1">
      <c r="A79" s="91" t="s">
        <v>297</v>
      </c>
      <c r="B79" s="56"/>
      <c r="C79" s="56"/>
      <c r="D79" s="56"/>
      <c r="E79" s="56"/>
      <c r="F79" s="56"/>
      <c r="G79" s="56"/>
      <c r="H79" s="56"/>
      <c r="I79" s="56"/>
      <c r="J79" s="56"/>
      <c r="K79" s="57"/>
      <c r="L79" s="92"/>
      <c r="M79" s="59"/>
      <c r="N79" s="56"/>
      <c r="O79" s="56"/>
      <c r="P79" s="56"/>
      <c r="Q79" s="56"/>
      <c r="R79" s="57"/>
      <c r="S79" s="60"/>
      <c r="T79" s="61"/>
      <c r="U79" s="62"/>
      <c r="V79" s="63"/>
      <c r="W79" s="63"/>
      <c r="X79" s="76" t="s">
        <v>27</v>
      </c>
      <c r="Z79" s="81"/>
      <c r="AA79" s="81"/>
      <c r="AB79" s="81"/>
      <c r="AC79" s="81"/>
      <c r="AD79" s="81"/>
      <c r="AE79" s="81"/>
      <c r="AF79" s="81"/>
      <c r="AG79" s="81"/>
    </row>
    <row r="80" spans="1:33" s="42" customFormat="1" ht="15.75" customHeight="1">
      <c r="A80" s="91"/>
      <c r="B80" s="56"/>
      <c r="C80" s="56"/>
      <c r="D80" s="56"/>
      <c r="E80" s="56"/>
      <c r="F80" s="56"/>
      <c r="G80" s="56"/>
      <c r="H80" s="56"/>
      <c r="I80" s="56"/>
      <c r="J80" s="56"/>
      <c r="K80" s="57"/>
      <c r="L80" s="92"/>
      <c r="M80" s="59"/>
      <c r="N80" s="56"/>
      <c r="O80" s="56"/>
      <c r="P80" s="56"/>
      <c r="Q80" s="56"/>
      <c r="R80" s="57"/>
      <c r="S80" s="60"/>
      <c r="T80" s="61"/>
      <c r="U80" s="62"/>
      <c r="V80" s="63"/>
      <c r="W80" s="63"/>
      <c r="X80" s="73" t="s">
        <v>28</v>
      </c>
      <c r="Z80" s="81"/>
      <c r="AA80" s="81"/>
      <c r="AB80" s="81"/>
      <c r="AC80" s="81"/>
      <c r="AD80" s="81"/>
      <c r="AE80" s="81"/>
      <c r="AF80" s="81"/>
      <c r="AG80" s="81"/>
    </row>
    <row r="81" spans="1:33" s="42" customFormat="1" ht="15.75" customHeight="1">
      <c r="A81" s="91"/>
      <c r="B81" s="56"/>
      <c r="C81" s="56"/>
      <c r="D81" s="56"/>
      <c r="E81" s="56"/>
      <c r="F81" s="56"/>
      <c r="G81" s="56"/>
      <c r="H81" s="56"/>
      <c r="I81" s="56"/>
      <c r="J81" s="56"/>
      <c r="K81" s="57"/>
      <c r="L81" s="92"/>
      <c r="M81" s="59"/>
      <c r="N81" s="56"/>
      <c r="O81" s="56"/>
      <c r="P81" s="56"/>
      <c r="Q81" s="56"/>
      <c r="R81" s="57"/>
      <c r="S81" s="60"/>
      <c r="T81" s="61"/>
      <c r="U81" s="62"/>
      <c r="V81" s="63"/>
      <c r="W81" s="63"/>
      <c r="X81" s="73"/>
      <c r="Z81" s="81"/>
      <c r="AA81" s="81"/>
      <c r="AB81" s="81"/>
      <c r="AC81" s="81"/>
      <c r="AD81" s="81"/>
      <c r="AE81" s="81"/>
      <c r="AF81" s="81"/>
      <c r="AG81" s="81"/>
    </row>
    <row r="82" spans="1:33" s="42" customFormat="1" ht="15.75" customHeight="1">
      <c r="A82" s="91"/>
      <c r="B82" s="56"/>
      <c r="C82" s="56"/>
      <c r="D82" s="56"/>
      <c r="E82" s="56"/>
      <c r="F82" s="56"/>
      <c r="G82" s="56"/>
      <c r="H82" s="56"/>
      <c r="I82" s="56"/>
      <c r="J82" s="56"/>
      <c r="K82" s="57"/>
      <c r="L82" s="92"/>
      <c r="M82" s="59"/>
      <c r="N82" s="56"/>
      <c r="O82" s="56"/>
      <c r="P82" s="56"/>
      <c r="Q82" s="56"/>
      <c r="R82" s="57"/>
      <c r="S82" s="60"/>
      <c r="T82" s="61"/>
      <c r="U82" s="62"/>
      <c r="V82" s="63"/>
      <c r="W82" s="63"/>
      <c r="X82" s="64"/>
      <c r="Z82" s="81"/>
      <c r="AA82" s="81"/>
      <c r="AB82" s="81"/>
      <c r="AC82" s="81"/>
      <c r="AD82" s="81"/>
      <c r="AE82" s="81"/>
      <c r="AF82" s="81"/>
      <c r="AG82" s="81"/>
    </row>
    <row r="83" spans="1:33" s="42" customFormat="1" ht="15.75" customHeight="1">
      <c r="A83" s="91" t="s">
        <v>215</v>
      </c>
      <c r="B83" s="66" t="s">
        <v>142</v>
      </c>
      <c r="C83" s="56">
        <v>3</v>
      </c>
      <c r="D83" s="56">
        <v>6</v>
      </c>
      <c r="E83" s="56">
        <v>3</v>
      </c>
      <c r="F83" s="56">
        <v>4</v>
      </c>
      <c r="G83" s="56">
        <v>5</v>
      </c>
      <c r="H83" s="56">
        <v>3</v>
      </c>
      <c r="I83" s="56">
        <v>4</v>
      </c>
      <c r="J83" s="67" t="s">
        <v>123</v>
      </c>
      <c r="K83" s="57">
        <v>10</v>
      </c>
      <c r="L83" s="92"/>
      <c r="M83" s="59"/>
      <c r="N83" s="56"/>
      <c r="O83" s="56">
        <v>2</v>
      </c>
      <c r="P83" s="68" t="s">
        <v>142</v>
      </c>
      <c r="Q83" s="68" t="s">
        <v>142</v>
      </c>
      <c r="R83" s="68" t="s">
        <v>142</v>
      </c>
      <c r="S83" s="60"/>
      <c r="T83" s="61"/>
      <c r="U83" s="62"/>
      <c r="V83" s="63"/>
      <c r="W83" s="63">
        <f>305*IF(B83="-",0,B83)</f>
        <v>0</v>
      </c>
      <c r="X83" s="76" t="s">
        <v>222</v>
      </c>
      <c r="Z83" s="81"/>
      <c r="AA83" s="81"/>
      <c r="AB83" s="81"/>
      <c r="AC83" s="81"/>
      <c r="AD83" s="81"/>
      <c r="AE83" s="81"/>
      <c r="AF83" s="81"/>
      <c r="AG83" s="81"/>
    </row>
    <row r="84" spans="1:33" s="42" customFormat="1" ht="15.75" customHeight="1">
      <c r="A84" s="91"/>
      <c r="B84" s="56"/>
      <c r="C84" s="56"/>
      <c r="D84" s="56"/>
      <c r="E84" s="56"/>
      <c r="F84" s="56"/>
      <c r="G84" s="56"/>
      <c r="H84" s="56"/>
      <c r="I84" s="56"/>
      <c r="J84" s="56"/>
      <c r="K84" s="57"/>
      <c r="L84" s="92"/>
      <c r="M84" s="59"/>
      <c r="N84" s="56"/>
      <c r="O84" s="56"/>
      <c r="P84" s="56"/>
      <c r="Q84" s="56"/>
      <c r="R84" s="57"/>
      <c r="S84" s="60"/>
      <c r="T84" s="61"/>
      <c r="U84" s="62"/>
      <c r="V84" s="63"/>
      <c r="W84" s="63"/>
      <c r="X84" s="76" t="s">
        <v>296</v>
      </c>
      <c r="Z84" s="81"/>
      <c r="AA84" s="81"/>
      <c r="AB84" s="81"/>
      <c r="AC84" s="81"/>
      <c r="AD84" s="81"/>
      <c r="AE84" s="81"/>
      <c r="AF84" s="81"/>
      <c r="AG84" s="81"/>
    </row>
    <row r="85" spans="1:33" s="42" customFormat="1" ht="15.75" customHeight="1">
      <c r="A85" s="91"/>
      <c r="B85" s="56"/>
      <c r="C85" s="56"/>
      <c r="D85" s="56"/>
      <c r="E85" s="56"/>
      <c r="F85" s="56"/>
      <c r="G85" s="56"/>
      <c r="H85" s="56"/>
      <c r="I85" s="56"/>
      <c r="J85" s="56"/>
      <c r="K85" s="57"/>
      <c r="L85" s="92"/>
      <c r="M85" s="59"/>
      <c r="N85" s="56"/>
      <c r="O85" s="56"/>
      <c r="P85" s="56"/>
      <c r="Q85" s="56"/>
      <c r="R85" s="57"/>
      <c r="S85" s="60"/>
      <c r="T85" s="61"/>
      <c r="U85" s="62"/>
      <c r="V85" s="63"/>
      <c r="W85" s="63"/>
      <c r="X85" s="94" t="s">
        <v>101</v>
      </c>
      <c r="Z85" s="81"/>
      <c r="AA85" s="81"/>
      <c r="AB85" s="81"/>
      <c r="AC85" s="81"/>
      <c r="AD85" s="81"/>
      <c r="AE85" s="81"/>
      <c r="AF85" s="81"/>
      <c r="AG85" s="81"/>
    </row>
    <row r="86" spans="1:33" s="42" customFormat="1" ht="15.75" customHeight="1">
      <c r="A86" s="91"/>
      <c r="B86" s="56"/>
      <c r="C86" s="56"/>
      <c r="D86" s="56"/>
      <c r="E86" s="56"/>
      <c r="F86" s="56"/>
      <c r="G86" s="56"/>
      <c r="H86" s="56"/>
      <c r="I86" s="56"/>
      <c r="J86" s="56"/>
      <c r="K86" s="57"/>
      <c r="L86" s="92"/>
      <c r="M86" s="59"/>
      <c r="N86" s="56"/>
      <c r="O86" s="56"/>
      <c r="P86" s="56"/>
      <c r="Q86" s="56"/>
      <c r="R86" s="57"/>
      <c r="S86" s="60"/>
      <c r="T86" s="61"/>
      <c r="U86" s="62"/>
      <c r="V86" s="63"/>
      <c r="W86" s="63"/>
      <c r="X86" s="94" t="s">
        <v>24</v>
      </c>
      <c r="Z86" s="81"/>
      <c r="AA86" s="81"/>
      <c r="AB86" s="81"/>
      <c r="AC86" s="81"/>
      <c r="AD86" s="81"/>
      <c r="AE86" s="81"/>
      <c r="AF86" s="81"/>
      <c r="AG86" s="81"/>
    </row>
    <row r="87" spans="1:33" s="42" customFormat="1" ht="15.75" customHeight="1">
      <c r="A87" s="91"/>
      <c r="B87" s="56"/>
      <c r="C87" s="56"/>
      <c r="D87" s="56"/>
      <c r="E87" s="56"/>
      <c r="F87" s="56"/>
      <c r="G87" s="56"/>
      <c r="H87" s="56"/>
      <c r="I87" s="56"/>
      <c r="J87" s="56"/>
      <c r="K87" s="57"/>
      <c r="L87" s="92"/>
      <c r="M87" s="59"/>
      <c r="N87" s="56"/>
      <c r="O87" s="56"/>
      <c r="P87" s="56"/>
      <c r="Q87" s="56"/>
      <c r="R87" s="57"/>
      <c r="S87" s="60"/>
      <c r="T87" s="61"/>
      <c r="U87" s="62"/>
      <c r="V87" s="63"/>
      <c r="W87" s="63"/>
      <c r="X87" s="94" t="s">
        <v>25</v>
      </c>
      <c r="Z87" s="81"/>
      <c r="AA87" s="81"/>
      <c r="AB87" s="81"/>
      <c r="AC87" s="81"/>
      <c r="AD87" s="81"/>
      <c r="AE87" s="81"/>
      <c r="AF87" s="81"/>
      <c r="AG87" s="81"/>
    </row>
    <row r="88" spans="1:33" s="42" customFormat="1" ht="15.75" customHeight="1">
      <c r="A88" s="91"/>
      <c r="B88" s="56"/>
      <c r="C88" s="56"/>
      <c r="D88" s="56"/>
      <c r="E88" s="56"/>
      <c r="F88" s="56"/>
      <c r="G88" s="56"/>
      <c r="H88" s="56"/>
      <c r="I88" s="56"/>
      <c r="J88" s="56"/>
      <c r="K88" s="57"/>
      <c r="L88" s="92"/>
      <c r="M88" s="59"/>
      <c r="N88" s="56"/>
      <c r="O88" s="56"/>
      <c r="P88" s="56"/>
      <c r="Q88" s="56"/>
      <c r="R88" s="57"/>
      <c r="S88" s="60"/>
      <c r="T88" s="61"/>
      <c r="U88" s="62"/>
      <c r="V88" s="63"/>
      <c r="W88" s="63"/>
      <c r="X88" s="94" t="s">
        <v>369</v>
      </c>
      <c r="Z88" s="81"/>
      <c r="AA88" s="81"/>
      <c r="AB88" s="81"/>
      <c r="AC88" s="81"/>
      <c r="AD88" s="81"/>
      <c r="AE88" s="81"/>
      <c r="AF88" s="81"/>
      <c r="AG88" s="81"/>
    </row>
    <row r="89" spans="1:33" s="42" customFormat="1" ht="15.75" customHeight="1">
      <c r="A89" s="91"/>
      <c r="B89" s="56"/>
      <c r="C89" s="56"/>
      <c r="D89" s="56"/>
      <c r="E89" s="56"/>
      <c r="F89" s="56"/>
      <c r="G89" s="56"/>
      <c r="H89" s="56"/>
      <c r="I89" s="56"/>
      <c r="J89" s="56"/>
      <c r="K89" s="57"/>
      <c r="L89" s="92"/>
      <c r="M89" s="59"/>
      <c r="N89" s="56"/>
      <c r="O89" s="56"/>
      <c r="P89" s="56"/>
      <c r="Q89" s="56"/>
      <c r="R89" s="57"/>
      <c r="S89" s="60"/>
      <c r="T89" s="61"/>
      <c r="U89" s="62"/>
      <c r="V89" s="63"/>
      <c r="W89" s="63"/>
      <c r="X89" s="94"/>
      <c r="Z89" s="81"/>
      <c r="AA89" s="81"/>
      <c r="AB89" s="81"/>
      <c r="AC89" s="81"/>
      <c r="AD89" s="81"/>
      <c r="AE89" s="81"/>
      <c r="AF89" s="81"/>
      <c r="AG89" s="81"/>
    </row>
    <row r="90" spans="1:33" s="42" customFormat="1" ht="15.75" customHeight="1">
      <c r="A90" s="91"/>
      <c r="B90" s="56"/>
      <c r="C90" s="56"/>
      <c r="D90" s="56"/>
      <c r="E90" s="56"/>
      <c r="F90" s="56"/>
      <c r="G90" s="56"/>
      <c r="H90" s="56"/>
      <c r="I90" s="56"/>
      <c r="J90" s="56"/>
      <c r="K90" s="57"/>
      <c r="L90" s="92"/>
      <c r="M90" s="59"/>
      <c r="N90" s="56"/>
      <c r="O90" s="56"/>
      <c r="P90" s="56"/>
      <c r="Q90" s="56"/>
      <c r="R90" s="57"/>
      <c r="S90" s="60"/>
      <c r="T90" s="61"/>
      <c r="U90" s="62"/>
      <c r="V90" s="63"/>
      <c r="W90" s="63"/>
      <c r="X90" s="76"/>
      <c r="Z90" s="81"/>
      <c r="AA90" s="81"/>
      <c r="AB90" s="81"/>
      <c r="AC90" s="81"/>
      <c r="AD90" s="81"/>
      <c r="AE90" s="81"/>
      <c r="AF90" s="81"/>
      <c r="AG90" s="81"/>
    </row>
    <row r="91" spans="1:33" s="42" customFormat="1" ht="15.75" customHeight="1">
      <c r="A91" s="91" t="s">
        <v>94</v>
      </c>
      <c r="B91" s="66" t="s">
        <v>142</v>
      </c>
      <c r="C91" s="56">
        <v>3</v>
      </c>
      <c r="D91" s="56">
        <v>6</v>
      </c>
      <c r="E91" s="56">
        <v>4</v>
      </c>
      <c r="F91" s="67" t="s">
        <v>150</v>
      </c>
      <c r="G91" s="56">
        <v>4</v>
      </c>
      <c r="H91" s="56">
        <v>3</v>
      </c>
      <c r="I91" s="56">
        <v>3</v>
      </c>
      <c r="J91" s="67" t="s">
        <v>126</v>
      </c>
      <c r="K91" s="57">
        <v>9</v>
      </c>
      <c r="L91" s="95"/>
      <c r="M91" s="59"/>
      <c r="N91" s="56"/>
      <c r="O91" s="56">
        <v>1</v>
      </c>
      <c r="P91" s="68" t="s">
        <v>142</v>
      </c>
      <c r="Q91" s="56" t="s">
        <v>318</v>
      </c>
      <c r="R91" s="68" t="s">
        <v>142</v>
      </c>
      <c r="S91" s="60" t="s">
        <v>307</v>
      </c>
      <c r="T91" s="69"/>
      <c r="U91" s="62" t="s">
        <v>197</v>
      </c>
      <c r="V91" s="63"/>
      <c r="W91" s="63">
        <f>235*IF(B91="-",0,B91)</f>
        <v>0</v>
      </c>
      <c r="X91" s="76" t="s">
        <v>186</v>
      </c>
      <c r="Z91" s="81"/>
      <c r="AA91" s="81"/>
      <c r="AB91" s="81"/>
      <c r="AC91" s="81"/>
      <c r="AD91" s="81"/>
      <c r="AE91" s="81"/>
      <c r="AF91" s="81"/>
      <c r="AG91" s="81"/>
    </row>
    <row r="92" spans="1:33" s="42" customFormat="1" ht="15.75" customHeight="1">
      <c r="A92" s="91"/>
      <c r="B92" s="56"/>
      <c r="C92" s="56"/>
      <c r="D92" s="56"/>
      <c r="E92" s="56"/>
      <c r="F92" s="56"/>
      <c r="G92" s="56"/>
      <c r="H92" s="56"/>
      <c r="I92" s="56"/>
      <c r="J92" s="56"/>
      <c r="K92" s="57"/>
      <c r="L92" s="95"/>
      <c r="M92" s="59"/>
      <c r="N92" s="56"/>
      <c r="O92" s="56"/>
      <c r="P92" s="56"/>
      <c r="Q92" s="56"/>
      <c r="R92" s="57"/>
      <c r="S92" s="60"/>
      <c r="T92" s="61"/>
      <c r="U92" s="62"/>
      <c r="V92" s="63"/>
      <c r="W92" s="63"/>
      <c r="X92" s="76" t="s">
        <v>254</v>
      </c>
      <c r="Z92" s="81"/>
      <c r="AA92" s="81"/>
      <c r="AB92" s="81"/>
      <c r="AC92" s="81"/>
      <c r="AD92" s="81"/>
      <c r="AE92" s="81"/>
      <c r="AF92" s="81"/>
      <c r="AG92" s="81"/>
    </row>
    <row r="93" spans="1:33" s="42" customFormat="1" ht="15.75" customHeight="1">
      <c r="A93" s="91"/>
      <c r="B93" s="56"/>
      <c r="C93" s="56"/>
      <c r="D93" s="56"/>
      <c r="E93" s="56"/>
      <c r="F93" s="56"/>
      <c r="G93" s="56"/>
      <c r="H93" s="56"/>
      <c r="I93" s="56"/>
      <c r="J93" s="56"/>
      <c r="K93" s="57"/>
      <c r="L93" s="95"/>
      <c r="M93" s="59"/>
      <c r="N93" s="56"/>
      <c r="O93" s="56"/>
      <c r="P93" s="56"/>
      <c r="Q93" s="56"/>
      <c r="R93" s="57"/>
      <c r="S93" s="60"/>
      <c r="T93" s="61"/>
      <c r="U93" s="62"/>
      <c r="V93" s="63"/>
      <c r="W93" s="63"/>
      <c r="X93" s="73" t="s">
        <v>99</v>
      </c>
      <c r="Z93" s="81"/>
      <c r="AA93" s="81"/>
      <c r="AB93" s="81"/>
      <c r="AC93" s="81"/>
      <c r="AD93" s="81"/>
      <c r="AE93" s="81"/>
      <c r="AF93" s="81"/>
      <c r="AG93" s="81"/>
    </row>
    <row r="94" spans="1:33" s="42" customFormat="1" ht="15.75" customHeight="1">
      <c r="A94" s="91"/>
      <c r="B94" s="56"/>
      <c r="C94" s="56"/>
      <c r="D94" s="56"/>
      <c r="E94" s="56"/>
      <c r="F94" s="56"/>
      <c r="G94" s="56"/>
      <c r="H94" s="56"/>
      <c r="I94" s="56"/>
      <c r="J94" s="56"/>
      <c r="K94" s="57"/>
      <c r="L94" s="95"/>
      <c r="M94" s="59"/>
      <c r="N94" s="56"/>
      <c r="O94" s="56"/>
      <c r="P94" s="56"/>
      <c r="Q94" s="56"/>
      <c r="R94" s="57"/>
      <c r="S94" s="60"/>
      <c r="T94" s="61"/>
      <c r="U94" s="62"/>
      <c r="V94" s="63"/>
      <c r="W94" s="63"/>
      <c r="X94" s="73" t="s">
        <v>100</v>
      </c>
      <c r="Z94" s="81"/>
      <c r="AA94" s="81"/>
      <c r="AB94" s="81"/>
      <c r="AC94" s="81"/>
      <c r="AD94" s="81"/>
      <c r="AE94" s="81"/>
      <c r="AF94" s="81"/>
      <c r="AG94" s="81"/>
    </row>
    <row r="95" spans="1:33" s="42" customFormat="1" ht="15.75" customHeight="1">
      <c r="A95" s="91"/>
      <c r="B95" s="56"/>
      <c r="C95" s="56"/>
      <c r="D95" s="56"/>
      <c r="E95" s="56"/>
      <c r="F95" s="56"/>
      <c r="G95" s="56"/>
      <c r="H95" s="56"/>
      <c r="I95" s="56"/>
      <c r="J95" s="56"/>
      <c r="K95" s="57"/>
      <c r="L95" s="95"/>
      <c r="M95" s="59"/>
      <c r="N95" s="56"/>
      <c r="O95" s="56"/>
      <c r="P95" s="56"/>
      <c r="Q95" s="56"/>
      <c r="R95" s="57"/>
      <c r="S95" s="60"/>
      <c r="T95" s="61"/>
      <c r="U95" s="62"/>
      <c r="V95" s="63"/>
      <c r="W95" s="63"/>
      <c r="X95" s="73"/>
      <c r="Z95" s="81"/>
      <c r="AA95" s="81"/>
      <c r="AB95" s="81"/>
      <c r="AC95" s="81"/>
      <c r="AD95" s="81"/>
      <c r="AE95" s="81"/>
      <c r="AF95" s="81"/>
      <c r="AG95" s="81"/>
    </row>
    <row r="96" spans="1:24" s="42" customFormat="1" ht="15.75" customHeight="1">
      <c r="A96" s="91"/>
      <c r="B96" s="56"/>
      <c r="C96" s="56"/>
      <c r="D96" s="56"/>
      <c r="E96" s="56"/>
      <c r="F96" s="56"/>
      <c r="G96" s="56"/>
      <c r="H96" s="56"/>
      <c r="I96" s="56"/>
      <c r="J96" s="56"/>
      <c r="K96" s="57"/>
      <c r="L96" s="95"/>
      <c r="M96" s="59"/>
      <c r="N96" s="56"/>
      <c r="O96" s="56"/>
      <c r="P96" s="56"/>
      <c r="Q96" s="56"/>
      <c r="R96" s="57"/>
      <c r="S96" s="60"/>
      <c r="T96" s="61"/>
      <c r="U96" s="62"/>
      <c r="V96" s="63"/>
      <c r="W96" s="63"/>
      <c r="X96" s="64"/>
    </row>
    <row r="97" spans="1:24" s="42" customFormat="1" ht="15.75" customHeight="1">
      <c r="A97" s="91"/>
      <c r="B97" s="56"/>
      <c r="C97" s="56"/>
      <c r="D97" s="56"/>
      <c r="E97" s="56"/>
      <c r="F97" s="56"/>
      <c r="G97" s="56"/>
      <c r="H97" s="56"/>
      <c r="I97" s="56"/>
      <c r="J97" s="56"/>
      <c r="K97" s="57"/>
      <c r="L97" s="95"/>
      <c r="M97" s="59"/>
      <c r="N97" s="56"/>
      <c r="O97" s="56"/>
      <c r="P97" s="56"/>
      <c r="Q97" s="56"/>
      <c r="R97" s="57"/>
      <c r="S97" s="60"/>
      <c r="T97" s="61"/>
      <c r="U97" s="62"/>
      <c r="V97" s="63"/>
      <c r="W97" s="63"/>
      <c r="X97" s="64"/>
    </row>
    <row r="98" spans="1:24" s="42" customFormat="1" ht="15.75" customHeight="1">
      <c r="A98" s="91" t="s">
        <v>125</v>
      </c>
      <c r="B98" s="66" t="s">
        <v>142</v>
      </c>
      <c r="C98" s="56">
        <v>3</v>
      </c>
      <c r="D98" s="56">
        <v>6</v>
      </c>
      <c r="E98" s="56">
        <v>4</v>
      </c>
      <c r="F98" s="56">
        <v>4</v>
      </c>
      <c r="G98" s="56">
        <v>5</v>
      </c>
      <c r="H98" s="56">
        <v>3</v>
      </c>
      <c r="I98" s="56">
        <v>3</v>
      </c>
      <c r="J98" s="67" t="s">
        <v>126</v>
      </c>
      <c r="K98" s="57">
        <v>10</v>
      </c>
      <c r="L98" s="95"/>
      <c r="M98" s="59"/>
      <c r="N98" s="56"/>
      <c r="O98" s="56">
        <v>1</v>
      </c>
      <c r="P98" s="68" t="s">
        <v>142</v>
      </c>
      <c r="Q98" s="56" t="s">
        <v>318</v>
      </c>
      <c r="R98" s="68" t="s">
        <v>142</v>
      </c>
      <c r="S98" s="60" t="s">
        <v>153</v>
      </c>
      <c r="T98" s="69"/>
      <c r="U98" s="62"/>
      <c r="V98" s="63"/>
      <c r="W98" s="63">
        <f>IF(B98="-",0,B98)*420</f>
        <v>0</v>
      </c>
      <c r="X98" s="76" t="s">
        <v>127</v>
      </c>
    </row>
    <row r="99" spans="1:24" s="42" customFormat="1" ht="15.75" customHeight="1">
      <c r="A99" s="91" t="s">
        <v>292</v>
      </c>
      <c r="B99" s="56"/>
      <c r="C99" s="56"/>
      <c r="D99" s="56"/>
      <c r="E99" s="56"/>
      <c r="F99" s="56"/>
      <c r="G99" s="56"/>
      <c r="H99" s="56"/>
      <c r="I99" s="56"/>
      <c r="J99" s="56"/>
      <c r="K99" s="57"/>
      <c r="L99" s="95"/>
      <c r="M99" s="59"/>
      <c r="N99" s="56"/>
      <c r="O99" s="56"/>
      <c r="P99" s="56"/>
      <c r="Q99" s="56"/>
      <c r="R99" s="57"/>
      <c r="S99" s="60"/>
      <c r="T99" s="61"/>
      <c r="U99" s="62"/>
      <c r="V99" s="63"/>
      <c r="W99" s="63"/>
      <c r="X99" s="76" t="s">
        <v>128</v>
      </c>
    </row>
    <row r="100" spans="1:24" s="42" customFormat="1" ht="15.75" customHeight="1">
      <c r="A100" s="91"/>
      <c r="B100" s="56"/>
      <c r="C100" s="56"/>
      <c r="D100" s="56"/>
      <c r="E100" s="56"/>
      <c r="F100" s="56"/>
      <c r="G100" s="56"/>
      <c r="H100" s="56"/>
      <c r="I100" s="56"/>
      <c r="J100" s="56"/>
      <c r="K100" s="57"/>
      <c r="L100" s="95"/>
      <c r="M100" s="59"/>
      <c r="N100" s="56"/>
      <c r="O100" s="56"/>
      <c r="P100" s="56"/>
      <c r="Q100" s="56"/>
      <c r="R100" s="57"/>
      <c r="S100" s="96"/>
      <c r="T100" s="61"/>
      <c r="U100" s="62"/>
      <c r="V100" s="63"/>
      <c r="W100" s="63"/>
      <c r="X100" s="73" t="s">
        <v>95</v>
      </c>
    </row>
    <row r="101" spans="1:24" s="42" customFormat="1" ht="15.75" customHeight="1">
      <c r="A101" s="91"/>
      <c r="B101" s="56"/>
      <c r="C101" s="56"/>
      <c r="D101" s="56"/>
      <c r="E101" s="56"/>
      <c r="F101" s="56"/>
      <c r="G101" s="56"/>
      <c r="H101" s="56"/>
      <c r="I101" s="56"/>
      <c r="J101" s="56"/>
      <c r="K101" s="57"/>
      <c r="L101" s="95"/>
      <c r="M101" s="59"/>
      <c r="N101" s="56"/>
      <c r="O101" s="56"/>
      <c r="P101" s="56"/>
      <c r="Q101" s="56"/>
      <c r="R101" s="57"/>
      <c r="S101" s="96"/>
      <c r="T101" s="61"/>
      <c r="U101" s="62"/>
      <c r="V101" s="63"/>
      <c r="W101" s="63"/>
      <c r="X101" s="73" t="s">
        <v>96</v>
      </c>
    </row>
    <row r="102" spans="1:24" s="42" customFormat="1" ht="15.75" customHeight="1">
      <c r="A102" s="91"/>
      <c r="B102" s="56"/>
      <c r="C102" s="56"/>
      <c r="D102" s="56"/>
      <c r="E102" s="56"/>
      <c r="F102" s="56"/>
      <c r="G102" s="56"/>
      <c r="H102" s="56"/>
      <c r="I102" s="56"/>
      <c r="J102" s="56"/>
      <c r="K102" s="57"/>
      <c r="L102" s="95"/>
      <c r="M102" s="59"/>
      <c r="N102" s="56"/>
      <c r="O102" s="56"/>
      <c r="P102" s="56"/>
      <c r="Q102" s="56"/>
      <c r="R102" s="57"/>
      <c r="S102" s="96"/>
      <c r="T102" s="61"/>
      <c r="U102" s="62"/>
      <c r="V102" s="63"/>
      <c r="W102" s="63"/>
      <c r="X102" s="73" t="s">
        <v>97</v>
      </c>
    </row>
    <row r="103" spans="1:24" s="42" customFormat="1" ht="15.75" customHeight="1">
      <c r="A103" s="91"/>
      <c r="B103" s="56"/>
      <c r="C103" s="56"/>
      <c r="D103" s="56"/>
      <c r="E103" s="56"/>
      <c r="F103" s="56"/>
      <c r="G103" s="56"/>
      <c r="H103" s="56"/>
      <c r="I103" s="56"/>
      <c r="J103" s="56"/>
      <c r="K103" s="57"/>
      <c r="L103" s="95"/>
      <c r="M103" s="59"/>
      <c r="N103" s="56"/>
      <c r="O103" s="56"/>
      <c r="P103" s="56"/>
      <c r="Q103" s="56"/>
      <c r="R103" s="57"/>
      <c r="S103" s="96"/>
      <c r="T103" s="61"/>
      <c r="U103" s="62"/>
      <c r="V103" s="63"/>
      <c r="W103" s="63"/>
      <c r="X103" s="73" t="s">
        <v>98</v>
      </c>
    </row>
    <row r="104" spans="1:24" s="42" customFormat="1" ht="15.75" customHeight="1">
      <c r="A104" s="91"/>
      <c r="B104" s="56"/>
      <c r="C104" s="56"/>
      <c r="D104" s="56"/>
      <c r="E104" s="56"/>
      <c r="F104" s="56"/>
      <c r="G104" s="56"/>
      <c r="H104" s="56"/>
      <c r="I104" s="56"/>
      <c r="J104" s="56"/>
      <c r="K104" s="57"/>
      <c r="L104" s="95"/>
      <c r="M104" s="59"/>
      <c r="N104" s="56"/>
      <c r="O104" s="56"/>
      <c r="P104" s="56"/>
      <c r="Q104" s="56"/>
      <c r="R104" s="57"/>
      <c r="S104" s="96"/>
      <c r="T104" s="61"/>
      <c r="U104" s="62"/>
      <c r="V104" s="63"/>
      <c r="W104" s="63"/>
      <c r="X104" s="73"/>
    </row>
    <row r="105" spans="1:24" s="42" customFormat="1" ht="15.75" customHeight="1">
      <c r="A105" s="97"/>
      <c r="B105" s="98"/>
      <c r="C105" s="98"/>
      <c r="D105" s="98"/>
      <c r="E105" s="98"/>
      <c r="F105" s="98"/>
      <c r="G105" s="98"/>
      <c r="H105" s="98"/>
      <c r="I105" s="98"/>
      <c r="J105" s="98"/>
      <c r="K105" s="99"/>
      <c r="L105" s="100"/>
      <c r="M105" s="101"/>
      <c r="N105" s="98"/>
      <c r="O105" s="98"/>
      <c r="P105" s="98"/>
      <c r="Q105" s="98"/>
      <c r="R105" s="99"/>
      <c r="S105" s="102"/>
      <c r="T105" s="103"/>
      <c r="U105" s="104"/>
      <c r="V105" s="105"/>
      <c r="W105" s="105"/>
      <c r="X105" s="106"/>
    </row>
    <row r="106" spans="1:27" s="42" customFormat="1" ht="24.75" customHeight="1">
      <c r="A106" s="107" t="s">
        <v>276</v>
      </c>
      <c r="B106" s="83" t="s">
        <v>147</v>
      </c>
      <c r="C106" s="84" t="s">
        <v>145</v>
      </c>
      <c r="D106" s="84" t="s">
        <v>253</v>
      </c>
      <c r="E106" s="84" t="s">
        <v>206</v>
      </c>
      <c r="F106" s="84" t="s">
        <v>318</v>
      </c>
      <c r="G106" s="84" t="s">
        <v>146</v>
      </c>
      <c r="H106" s="84" t="s">
        <v>207</v>
      </c>
      <c r="I106" s="84" t="s">
        <v>208</v>
      </c>
      <c r="J106" s="84" t="s">
        <v>209</v>
      </c>
      <c r="K106" s="84" t="s">
        <v>210</v>
      </c>
      <c r="L106" s="85"/>
      <c r="M106" s="84" t="s">
        <v>139</v>
      </c>
      <c r="N106" s="84" t="s">
        <v>140</v>
      </c>
      <c r="O106" s="84" t="s">
        <v>311</v>
      </c>
      <c r="P106" s="84" t="s">
        <v>312</v>
      </c>
      <c r="Q106" s="84" t="s">
        <v>103</v>
      </c>
      <c r="R106" s="84" t="s">
        <v>105</v>
      </c>
      <c r="S106" s="86" t="s">
        <v>343</v>
      </c>
      <c r="T106" s="87" t="s">
        <v>130</v>
      </c>
      <c r="U106" s="88" t="s">
        <v>104</v>
      </c>
      <c r="V106" s="89" t="s">
        <v>187</v>
      </c>
      <c r="W106" s="90" t="s">
        <v>322</v>
      </c>
      <c r="X106" s="88" t="s">
        <v>410</v>
      </c>
      <c r="Z106" s="93">
        <f>SUM(W10:W105)+SUM(W107:W143)</f>
        <v>0</v>
      </c>
      <c r="AA106" s="93" t="s">
        <v>135</v>
      </c>
    </row>
    <row r="107" spans="1:24" s="42" customFormat="1" ht="15.75" customHeight="1">
      <c r="A107" s="55"/>
      <c r="B107" s="56"/>
      <c r="C107" s="56"/>
      <c r="D107" s="56"/>
      <c r="E107" s="56"/>
      <c r="F107" s="56"/>
      <c r="G107" s="56"/>
      <c r="H107" s="56"/>
      <c r="I107" s="56"/>
      <c r="J107" s="56"/>
      <c r="K107" s="57"/>
      <c r="L107" s="58"/>
      <c r="M107" s="59"/>
      <c r="N107" s="56"/>
      <c r="O107" s="56"/>
      <c r="P107" s="56"/>
      <c r="Q107" s="56"/>
      <c r="R107" s="57"/>
      <c r="S107" s="96"/>
      <c r="T107" s="56"/>
      <c r="U107" s="62"/>
      <c r="V107" s="63"/>
      <c r="W107" s="63"/>
      <c r="X107" s="64"/>
    </row>
    <row r="108" spans="1:24" s="42" customFormat="1" ht="15.75" customHeight="1">
      <c r="A108" s="65"/>
      <c r="B108" s="56"/>
      <c r="C108" s="56"/>
      <c r="D108" s="56"/>
      <c r="E108" s="56"/>
      <c r="F108" s="56"/>
      <c r="G108" s="56"/>
      <c r="H108" s="56"/>
      <c r="I108" s="56"/>
      <c r="J108" s="56"/>
      <c r="K108" s="57"/>
      <c r="L108" s="58"/>
      <c r="M108" s="59"/>
      <c r="N108" s="56"/>
      <c r="O108" s="56"/>
      <c r="P108" s="56"/>
      <c r="Q108" s="56"/>
      <c r="R108" s="57"/>
      <c r="S108" s="96"/>
      <c r="T108" s="56"/>
      <c r="U108" s="62"/>
      <c r="V108" s="63"/>
      <c r="W108" s="63"/>
      <c r="X108" s="64"/>
    </row>
    <row r="109" spans="1:35" s="42" customFormat="1" ht="15.75" customHeight="1">
      <c r="A109" s="65" t="s">
        <v>106</v>
      </c>
      <c r="B109" s="66" t="s">
        <v>142</v>
      </c>
      <c r="C109" s="56">
        <v>3</v>
      </c>
      <c r="D109" s="56">
        <v>7</v>
      </c>
      <c r="E109" s="56">
        <v>4</v>
      </c>
      <c r="F109" s="56">
        <v>4</v>
      </c>
      <c r="G109" s="56">
        <v>5</v>
      </c>
      <c r="H109" s="56">
        <v>3</v>
      </c>
      <c r="I109" s="56">
        <v>4</v>
      </c>
      <c r="J109" s="56">
        <v>4</v>
      </c>
      <c r="K109" s="57">
        <v>10</v>
      </c>
      <c r="L109" s="58"/>
      <c r="M109" s="59"/>
      <c r="N109" s="56"/>
      <c r="O109" s="56">
        <v>1</v>
      </c>
      <c r="P109" s="66" t="s">
        <v>142</v>
      </c>
      <c r="Q109" s="56" t="s">
        <v>114</v>
      </c>
      <c r="R109" s="108" t="s">
        <v>142</v>
      </c>
      <c r="S109" s="60" t="str">
        <f>VLOOKUP(T109,RW,$Z$414,FALSE)</f>
        <v>4+</v>
      </c>
      <c r="T109" s="69">
        <f>VLOOKUP(Q109,Ruestung,$Z$406,FALSE)+IF(R109=1,1,0)</f>
        <v>3</v>
      </c>
      <c r="U109" s="62"/>
      <c r="V109" s="109" t="s">
        <v>142</v>
      </c>
      <c r="W109" s="63">
        <f>IF(B109="-",0,B109)*(145+IF(P109=1,6,0)+IF(R109=1,3,0)+IF(V109="-",0,V109)+VLOOKUP(X110,Waffen,$AA$451,FALSE)+VLOOKUP(X112,Waffen,$AA$451,FALSE)+VLOOKUP(X114,King,$Z$467,FALSE))</f>
        <v>0</v>
      </c>
      <c r="X109" s="70" t="s">
        <v>258</v>
      </c>
      <c r="AB109" s="42" t="s">
        <v>320</v>
      </c>
      <c r="AC109" s="110" t="s">
        <v>142</v>
      </c>
      <c r="AD109" s="42" t="s">
        <v>157</v>
      </c>
      <c r="AE109" s="110" t="s">
        <v>142</v>
      </c>
      <c r="AF109" s="111" t="s">
        <v>268</v>
      </c>
      <c r="AG109" s="110" t="s">
        <v>142</v>
      </c>
      <c r="AH109" s="111" t="s">
        <v>304</v>
      </c>
      <c r="AI109" s="110" t="s">
        <v>142</v>
      </c>
    </row>
    <row r="110" spans="1:24" s="42" customFormat="1" ht="15.75" customHeight="1">
      <c r="A110" s="71"/>
      <c r="B110" s="56"/>
      <c r="C110" s="56"/>
      <c r="D110" s="56"/>
      <c r="E110" s="56"/>
      <c r="F110" s="56"/>
      <c r="G110" s="56"/>
      <c r="H110" s="56"/>
      <c r="I110" s="56"/>
      <c r="J110" s="56"/>
      <c r="K110" s="57"/>
      <c r="L110" s="58"/>
      <c r="M110" s="59"/>
      <c r="N110" s="56"/>
      <c r="O110" s="56"/>
      <c r="P110" s="56"/>
      <c r="Q110" s="56"/>
      <c r="R110" s="57"/>
      <c r="S110" s="60"/>
      <c r="T110" s="56"/>
      <c r="U110" s="62"/>
      <c r="V110" s="63"/>
      <c r="W110" s="63"/>
      <c r="X110" s="80" t="s">
        <v>330</v>
      </c>
    </row>
    <row r="111" spans="1:24" s="42" customFormat="1" ht="15.75" customHeight="1">
      <c r="A111" s="65"/>
      <c r="B111" s="56"/>
      <c r="C111" s="56"/>
      <c r="D111" s="56"/>
      <c r="E111" s="56"/>
      <c r="F111" s="56"/>
      <c r="G111" s="56"/>
      <c r="H111" s="56"/>
      <c r="I111" s="56"/>
      <c r="J111" s="56"/>
      <c r="K111" s="57"/>
      <c r="L111" s="58"/>
      <c r="M111" s="59"/>
      <c r="N111" s="56"/>
      <c r="O111" s="56"/>
      <c r="P111" s="56"/>
      <c r="Q111" s="56"/>
      <c r="R111" s="57"/>
      <c r="S111" s="60"/>
      <c r="T111" s="56"/>
      <c r="U111" s="62"/>
      <c r="V111" s="63"/>
      <c r="W111" s="63"/>
      <c r="X111" s="80" t="str">
        <f>VLOOKUP(X110,Waffen,$Y$451,FALSE)</f>
        <v>-</v>
      </c>
    </row>
    <row r="112" spans="1:24" s="42" customFormat="1" ht="15.75" customHeight="1">
      <c r="A112" s="65"/>
      <c r="B112" s="56"/>
      <c r="C112" s="56"/>
      <c r="D112" s="56"/>
      <c r="E112" s="56"/>
      <c r="F112" s="56"/>
      <c r="G112" s="56"/>
      <c r="H112" s="56"/>
      <c r="I112" s="56"/>
      <c r="J112" s="56"/>
      <c r="K112" s="57"/>
      <c r="L112" s="58"/>
      <c r="M112" s="59"/>
      <c r="N112" s="56"/>
      <c r="O112" s="56"/>
      <c r="P112" s="56"/>
      <c r="Q112" s="56"/>
      <c r="R112" s="57"/>
      <c r="S112" s="60"/>
      <c r="T112" s="56"/>
      <c r="U112" s="62"/>
      <c r="V112" s="63"/>
      <c r="W112" s="63"/>
      <c r="X112" s="80" t="s">
        <v>330</v>
      </c>
    </row>
    <row r="113" spans="1:24" s="42" customFormat="1" ht="15.75" customHeight="1">
      <c r="A113" s="65"/>
      <c r="B113" s="56"/>
      <c r="C113" s="56"/>
      <c r="D113" s="56"/>
      <c r="E113" s="56"/>
      <c r="F113" s="56"/>
      <c r="G113" s="56"/>
      <c r="H113" s="56"/>
      <c r="I113" s="56"/>
      <c r="J113" s="56"/>
      <c r="K113" s="57"/>
      <c r="L113" s="58"/>
      <c r="M113" s="59"/>
      <c r="N113" s="56"/>
      <c r="O113" s="56"/>
      <c r="P113" s="56"/>
      <c r="Q113" s="56"/>
      <c r="R113" s="57"/>
      <c r="S113" s="60"/>
      <c r="T113" s="56"/>
      <c r="U113" s="62"/>
      <c r="V113" s="63"/>
      <c r="W113" s="63"/>
      <c r="X113" s="80" t="str">
        <f>VLOOKUP(X112,Waffen,$Y$451,FALSE)</f>
        <v>-</v>
      </c>
    </row>
    <row r="114" spans="1:24" s="42" customFormat="1" ht="15.75" customHeight="1">
      <c r="A114" s="65" t="str">
        <f>IF(X114="Schildträger: +2 LP &amp; +2 RW; Schildträger nie attack.","Schildträger","-")</f>
        <v>-</v>
      </c>
      <c r="B114" s="56" t="str">
        <f>IF(X114="Schildträger: +2 LP &amp; +2 RW; Schildträger nie attack.",2,"-")</f>
        <v>-</v>
      </c>
      <c r="C114" s="56" t="str">
        <f>IF(X114="Schildträger: +2 LP &amp; +2 RW; Schildträger nie attack.",3,"-")</f>
        <v>-</v>
      </c>
      <c r="D114" s="56" t="str">
        <f>IF(X114="Schildträger: +2 LP &amp; +2 RW; Schildträger nie attack.",5,"-")</f>
        <v>-</v>
      </c>
      <c r="E114" s="56" t="str">
        <f>IF(X114="Schildträger: +2 LP &amp; +2 RW; Schildträger nie attack.",3,"-")</f>
        <v>-</v>
      </c>
      <c r="F114" s="56" t="str">
        <f>IF(X114="Schildträger: +2 LP &amp; +2 RW; Schildträger nie attack.",4,"-")</f>
        <v>-</v>
      </c>
      <c r="G114" s="68" t="s">
        <v>142</v>
      </c>
      <c r="H114" s="68" t="s">
        <v>142</v>
      </c>
      <c r="I114" s="56" t="str">
        <f>IF(X114="Schildträger: +2 LP &amp; +2 RW; Schildträger nie attack.",3,"-")</f>
        <v>-</v>
      </c>
      <c r="J114" s="56" t="str">
        <f>IF(X114="Schildträger: +2 LP &amp; +2 RW; Schildträger nie attack.",1,"-")</f>
        <v>-</v>
      </c>
      <c r="K114" s="68" t="s">
        <v>142</v>
      </c>
      <c r="L114" s="58"/>
      <c r="M114" s="59"/>
      <c r="N114" s="56"/>
      <c r="O114" s="56"/>
      <c r="P114" s="56"/>
      <c r="Q114" s="56"/>
      <c r="R114" s="57"/>
      <c r="S114" s="60"/>
      <c r="T114" s="56"/>
      <c r="U114" s="62"/>
      <c r="V114" s="63"/>
      <c r="W114" s="63"/>
      <c r="X114" s="80" t="s">
        <v>240</v>
      </c>
    </row>
    <row r="115" spans="1:24" s="42" customFormat="1" ht="15.75" customHeight="1">
      <c r="A115" s="65"/>
      <c r="B115" s="56"/>
      <c r="C115" s="56"/>
      <c r="D115" s="56"/>
      <c r="E115" s="56"/>
      <c r="F115" s="56"/>
      <c r="G115" s="56"/>
      <c r="H115" s="56"/>
      <c r="I115" s="56"/>
      <c r="J115" s="56"/>
      <c r="K115" s="57"/>
      <c r="L115" s="58"/>
      <c r="M115" s="59"/>
      <c r="N115" s="56"/>
      <c r="O115" s="56"/>
      <c r="P115" s="56"/>
      <c r="Q115" s="56"/>
      <c r="R115" s="57"/>
      <c r="S115" s="60"/>
      <c r="T115" s="56"/>
      <c r="U115" s="62"/>
      <c r="V115" s="63"/>
      <c r="W115" s="63"/>
      <c r="X115" s="80" t="str">
        <f>VLOOKUP(X114,King,$Y$467,FALSE)</f>
        <v>-</v>
      </c>
    </row>
    <row r="116" spans="1:24" s="42" customFormat="1" ht="15.75" customHeight="1">
      <c r="A116" s="65"/>
      <c r="B116" s="56"/>
      <c r="C116" s="56"/>
      <c r="D116" s="56"/>
      <c r="E116" s="56"/>
      <c r="F116" s="56"/>
      <c r="G116" s="56"/>
      <c r="H116" s="56"/>
      <c r="I116" s="56"/>
      <c r="J116" s="56"/>
      <c r="K116" s="57"/>
      <c r="L116" s="58"/>
      <c r="M116" s="59"/>
      <c r="N116" s="56"/>
      <c r="O116" s="56"/>
      <c r="P116" s="56"/>
      <c r="Q116" s="56"/>
      <c r="R116" s="57"/>
      <c r="S116" s="60"/>
      <c r="T116" s="56"/>
      <c r="U116" s="62"/>
      <c r="V116" s="63"/>
      <c r="W116" s="63"/>
      <c r="X116" s="64"/>
    </row>
    <row r="117" spans="1:24" s="42" customFormat="1" ht="15.75" customHeight="1">
      <c r="A117" s="55"/>
      <c r="B117" s="56"/>
      <c r="C117" s="56"/>
      <c r="D117" s="56"/>
      <c r="E117" s="56"/>
      <c r="F117" s="56"/>
      <c r="G117" s="56"/>
      <c r="H117" s="56"/>
      <c r="I117" s="56"/>
      <c r="J117" s="56"/>
      <c r="K117" s="57"/>
      <c r="L117" s="58"/>
      <c r="M117" s="59"/>
      <c r="N117" s="56"/>
      <c r="O117" s="56"/>
      <c r="P117" s="56"/>
      <c r="Q117" s="56"/>
      <c r="R117" s="57"/>
      <c r="S117" s="60"/>
      <c r="T117" s="56"/>
      <c r="U117" s="62"/>
      <c r="V117" s="63"/>
      <c r="W117" s="63"/>
      <c r="X117" s="64"/>
    </row>
    <row r="118" spans="1:24" s="42" customFormat="1" ht="15.75" customHeight="1">
      <c r="A118" s="65" t="s">
        <v>306</v>
      </c>
      <c r="B118" s="66" t="s">
        <v>142</v>
      </c>
      <c r="C118" s="56">
        <v>3</v>
      </c>
      <c r="D118" s="56">
        <v>6</v>
      </c>
      <c r="E118" s="56">
        <v>4</v>
      </c>
      <c r="F118" s="67" t="s">
        <v>123</v>
      </c>
      <c r="G118" s="56">
        <v>5</v>
      </c>
      <c r="H118" s="56">
        <v>3</v>
      </c>
      <c r="I118" s="56">
        <v>3</v>
      </c>
      <c r="J118" s="56">
        <v>2</v>
      </c>
      <c r="K118" s="57">
        <v>9</v>
      </c>
      <c r="L118" s="58"/>
      <c r="M118" s="59"/>
      <c r="N118" s="56"/>
      <c r="O118" s="56">
        <v>1</v>
      </c>
      <c r="P118" s="66" t="s">
        <v>142</v>
      </c>
      <c r="Q118" s="56" t="s">
        <v>114</v>
      </c>
      <c r="R118" s="108" t="s">
        <v>142</v>
      </c>
      <c r="S118" s="60" t="str">
        <f>VLOOKUP(T118,RW,$Z$414,FALSE)</f>
        <v>4+</v>
      </c>
      <c r="T118" s="69">
        <f>VLOOKUP(Q118,Ruestung,$Z$406,FALSE)+IF(R118=1,1,0)</f>
        <v>3</v>
      </c>
      <c r="U118" s="62"/>
      <c r="V118" s="109" t="s">
        <v>142</v>
      </c>
      <c r="W118" s="63">
        <f>IF(B118="-",0,B118)*(120+IF(P118=1,6,0)+IF(R118=1,3,0)+IF(V118="-",0,V118))</f>
        <v>0</v>
      </c>
      <c r="X118" s="70" t="s">
        <v>258</v>
      </c>
    </row>
    <row r="119" spans="1:24" s="42" customFormat="1" ht="15.75" customHeight="1">
      <c r="A119" s="65"/>
      <c r="B119" s="72"/>
      <c r="C119" s="56"/>
      <c r="D119" s="56"/>
      <c r="E119" s="56"/>
      <c r="F119" s="56"/>
      <c r="G119" s="56"/>
      <c r="H119" s="56"/>
      <c r="I119" s="56"/>
      <c r="J119" s="56"/>
      <c r="K119" s="57"/>
      <c r="L119" s="58"/>
      <c r="M119" s="59"/>
      <c r="N119" s="56"/>
      <c r="O119" s="56"/>
      <c r="P119" s="78"/>
      <c r="Q119" s="56"/>
      <c r="R119" s="57"/>
      <c r="S119" s="79"/>
      <c r="T119" s="56"/>
      <c r="U119" s="62"/>
      <c r="V119" s="63"/>
      <c r="W119" s="63"/>
      <c r="X119" s="70" t="s">
        <v>175</v>
      </c>
    </row>
    <row r="120" spans="1:24" s="42" customFormat="1" ht="15.75" customHeight="1">
      <c r="A120" s="71"/>
      <c r="B120" s="72"/>
      <c r="C120" s="56"/>
      <c r="D120" s="56"/>
      <c r="E120" s="56"/>
      <c r="F120" s="56"/>
      <c r="G120" s="56"/>
      <c r="H120" s="56"/>
      <c r="I120" s="56"/>
      <c r="J120" s="56"/>
      <c r="K120" s="57"/>
      <c r="L120" s="58"/>
      <c r="M120" s="59"/>
      <c r="N120" s="56"/>
      <c r="O120" s="56"/>
      <c r="P120" s="78"/>
      <c r="Q120" s="56"/>
      <c r="R120" s="57"/>
      <c r="S120" s="79"/>
      <c r="T120" s="56"/>
      <c r="U120" s="62"/>
      <c r="V120" s="63"/>
      <c r="W120" s="63"/>
      <c r="X120" s="70" t="s">
        <v>69</v>
      </c>
    </row>
    <row r="121" spans="1:24" s="42" customFormat="1" ht="15.75" customHeight="1">
      <c r="A121" s="71"/>
      <c r="B121" s="72"/>
      <c r="C121" s="56"/>
      <c r="D121" s="56"/>
      <c r="E121" s="56"/>
      <c r="F121" s="56"/>
      <c r="G121" s="56"/>
      <c r="H121" s="56"/>
      <c r="I121" s="56"/>
      <c r="J121" s="56"/>
      <c r="K121" s="57"/>
      <c r="L121" s="58"/>
      <c r="M121" s="59"/>
      <c r="N121" s="56"/>
      <c r="O121" s="56"/>
      <c r="P121" s="78"/>
      <c r="Q121" s="56"/>
      <c r="R121" s="57"/>
      <c r="S121" s="79"/>
      <c r="T121" s="56"/>
      <c r="U121" s="62"/>
      <c r="V121" s="63"/>
      <c r="W121" s="63"/>
      <c r="X121" s="73" t="s">
        <v>177</v>
      </c>
    </row>
    <row r="122" spans="1:24" s="42" customFormat="1" ht="15.75" customHeight="1">
      <c r="A122" s="71" t="s">
        <v>162</v>
      </c>
      <c r="B122" s="66" t="s">
        <v>142</v>
      </c>
      <c r="C122" s="68" t="s">
        <v>142</v>
      </c>
      <c r="D122" s="68" t="s">
        <v>142</v>
      </c>
      <c r="E122" s="68" t="s">
        <v>142</v>
      </c>
      <c r="F122" s="68" t="s">
        <v>142</v>
      </c>
      <c r="G122" s="68" t="s">
        <v>142</v>
      </c>
      <c r="H122" s="56">
        <v>5</v>
      </c>
      <c r="I122" s="68" t="s">
        <v>142</v>
      </c>
      <c r="J122" s="68" t="s">
        <v>142</v>
      </c>
      <c r="K122" s="68" t="s">
        <v>142</v>
      </c>
      <c r="L122" s="58"/>
      <c r="M122" s="59"/>
      <c r="N122" s="56"/>
      <c r="O122" s="56"/>
      <c r="P122" s="78"/>
      <c r="Q122" s="56"/>
      <c r="R122" s="57"/>
      <c r="S122" s="79"/>
      <c r="T122" s="56"/>
      <c r="U122" s="62" t="s">
        <v>309</v>
      </c>
      <c r="V122" s="63"/>
      <c r="W122" s="63">
        <f>170*IF(B122="-",0,B122)</f>
        <v>0</v>
      </c>
      <c r="X122" s="76" t="s">
        <v>70</v>
      </c>
    </row>
    <row r="123" spans="1:24" s="42" customFormat="1" ht="15.75" customHeight="1">
      <c r="A123" s="71"/>
      <c r="B123" s="72"/>
      <c r="C123" s="56"/>
      <c r="D123" s="56"/>
      <c r="E123" s="56"/>
      <c r="F123" s="56"/>
      <c r="G123" s="56"/>
      <c r="H123" s="56"/>
      <c r="I123" s="56"/>
      <c r="J123" s="56"/>
      <c r="K123" s="57"/>
      <c r="L123" s="58"/>
      <c r="M123" s="59"/>
      <c r="N123" s="56"/>
      <c r="O123" s="56"/>
      <c r="P123" s="78"/>
      <c r="Q123" s="56"/>
      <c r="R123" s="57"/>
      <c r="S123" s="79"/>
      <c r="T123" s="56"/>
      <c r="U123" s="62"/>
      <c r="V123" s="63"/>
      <c r="W123" s="63"/>
      <c r="X123" s="76" t="s">
        <v>71</v>
      </c>
    </row>
    <row r="124" spans="1:24" s="42" customFormat="1" ht="15.75" customHeight="1">
      <c r="A124" s="71"/>
      <c r="B124" s="72"/>
      <c r="C124" s="56"/>
      <c r="D124" s="56"/>
      <c r="E124" s="56"/>
      <c r="F124" s="56"/>
      <c r="G124" s="56"/>
      <c r="H124" s="56"/>
      <c r="I124" s="56"/>
      <c r="J124" s="56"/>
      <c r="K124" s="57"/>
      <c r="L124" s="58"/>
      <c r="M124" s="59"/>
      <c r="N124" s="56"/>
      <c r="O124" s="56"/>
      <c r="P124" s="78"/>
      <c r="Q124" s="56"/>
      <c r="R124" s="57"/>
      <c r="S124" s="79"/>
      <c r="T124" s="56"/>
      <c r="U124" s="62"/>
      <c r="V124" s="63"/>
      <c r="W124" s="63"/>
      <c r="X124" s="73" t="s">
        <v>31</v>
      </c>
    </row>
    <row r="125" spans="1:24" s="42" customFormat="1" ht="15.75" customHeight="1">
      <c r="A125" s="71"/>
      <c r="B125" s="56"/>
      <c r="C125" s="56"/>
      <c r="D125" s="56"/>
      <c r="E125" s="56"/>
      <c r="F125" s="56"/>
      <c r="G125" s="56"/>
      <c r="H125" s="56"/>
      <c r="I125" s="56"/>
      <c r="J125" s="56"/>
      <c r="K125" s="57"/>
      <c r="L125" s="58"/>
      <c r="M125" s="59"/>
      <c r="N125" s="56"/>
      <c r="O125" s="56"/>
      <c r="P125" s="56"/>
      <c r="Q125" s="56"/>
      <c r="R125" s="57"/>
      <c r="S125" s="60"/>
      <c r="T125" s="56"/>
      <c r="U125" s="62"/>
      <c r="V125" s="63"/>
      <c r="W125" s="63"/>
      <c r="X125" s="73" t="s">
        <v>32</v>
      </c>
    </row>
    <row r="126" spans="1:24" s="42" customFormat="1" ht="15.75" customHeight="1">
      <c r="A126" s="71"/>
      <c r="B126" s="56"/>
      <c r="C126" s="56"/>
      <c r="D126" s="56"/>
      <c r="E126" s="56"/>
      <c r="F126" s="56"/>
      <c r="G126" s="56"/>
      <c r="H126" s="56"/>
      <c r="I126" s="56"/>
      <c r="J126" s="56"/>
      <c r="K126" s="57"/>
      <c r="L126" s="58"/>
      <c r="M126" s="59"/>
      <c r="N126" s="56"/>
      <c r="O126" s="56"/>
      <c r="P126" s="56"/>
      <c r="Q126" s="56"/>
      <c r="R126" s="57"/>
      <c r="S126" s="60"/>
      <c r="T126" s="56"/>
      <c r="U126" s="62"/>
      <c r="V126" s="63"/>
      <c r="W126" s="63"/>
      <c r="X126" s="73" t="s">
        <v>33</v>
      </c>
    </row>
    <row r="127" spans="1:24" s="42" customFormat="1" ht="15.75" customHeight="1">
      <c r="A127" s="71"/>
      <c r="B127" s="56"/>
      <c r="C127" s="56"/>
      <c r="D127" s="56"/>
      <c r="E127" s="56"/>
      <c r="F127" s="56"/>
      <c r="G127" s="56"/>
      <c r="H127" s="56"/>
      <c r="I127" s="56"/>
      <c r="J127" s="56"/>
      <c r="K127" s="57"/>
      <c r="L127" s="58"/>
      <c r="M127" s="59"/>
      <c r="N127" s="56"/>
      <c r="O127" s="56"/>
      <c r="P127" s="56"/>
      <c r="Q127" s="56"/>
      <c r="R127" s="57"/>
      <c r="S127" s="60"/>
      <c r="T127" s="56"/>
      <c r="U127" s="62"/>
      <c r="V127" s="63"/>
      <c r="W127" s="63"/>
      <c r="X127" s="73" t="s">
        <v>47</v>
      </c>
    </row>
    <row r="128" spans="1:24" s="42" customFormat="1" ht="15.75" customHeight="1">
      <c r="A128" s="71"/>
      <c r="B128" s="56"/>
      <c r="C128" s="56"/>
      <c r="D128" s="56"/>
      <c r="E128" s="56"/>
      <c r="F128" s="56"/>
      <c r="G128" s="56"/>
      <c r="H128" s="56"/>
      <c r="I128" s="56"/>
      <c r="J128" s="56"/>
      <c r="K128" s="57"/>
      <c r="L128" s="58"/>
      <c r="M128" s="59"/>
      <c r="N128" s="56"/>
      <c r="O128" s="56"/>
      <c r="P128" s="56"/>
      <c r="Q128" s="56"/>
      <c r="R128" s="57"/>
      <c r="S128" s="60"/>
      <c r="T128" s="56"/>
      <c r="U128" s="62"/>
      <c r="V128" s="63"/>
      <c r="W128" s="63"/>
      <c r="X128" s="80" t="s">
        <v>34</v>
      </c>
    </row>
    <row r="129" spans="1:24" s="42" customFormat="1" ht="15.75" customHeight="1">
      <c r="A129" s="71"/>
      <c r="B129" s="56"/>
      <c r="C129" s="56"/>
      <c r="D129" s="56"/>
      <c r="E129" s="56"/>
      <c r="F129" s="56"/>
      <c r="G129" s="56"/>
      <c r="H129" s="56"/>
      <c r="I129" s="56"/>
      <c r="J129" s="56"/>
      <c r="K129" s="57"/>
      <c r="L129" s="58"/>
      <c r="M129" s="59"/>
      <c r="N129" s="56"/>
      <c r="O129" s="56"/>
      <c r="P129" s="56"/>
      <c r="Q129" s="56"/>
      <c r="R129" s="57"/>
      <c r="S129" s="60"/>
      <c r="T129" s="56"/>
      <c r="U129" s="62"/>
      <c r="V129" s="63"/>
      <c r="W129" s="63"/>
      <c r="X129" s="73" t="s">
        <v>35</v>
      </c>
    </row>
    <row r="130" spans="1:24" s="42" customFormat="1" ht="15.75" customHeight="1">
      <c r="A130" s="71"/>
      <c r="B130" s="56"/>
      <c r="C130" s="56"/>
      <c r="D130" s="56"/>
      <c r="E130" s="56"/>
      <c r="F130" s="56"/>
      <c r="G130" s="56"/>
      <c r="H130" s="56"/>
      <c r="I130" s="56"/>
      <c r="J130" s="56"/>
      <c r="K130" s="57"/>
      <c r="L130" s="58"/>
      <c r="M130" s="59"/>
      <c r="N130" s="56"/>
      <c r="O130" s="56"/>
      <c r="P130" s="56"/>
      <c r="Q130" s="56"/>
      <c r="R130" s="57"/>
      <c r="S130" s="60"/>
      <c r="T130" s="56"/>
      <c r="U130" s="62"/>
      <c r="V130" s="63"/>
      <c r="W130" s="63"/>
      <c r="X130" s="73" t="s">
        <v>36</v>
      </c>
    </row>
    <row r="131" spans="1:24" s="42" customFormat="1" ht="15.75" customHeight="1">
      <c r="A131" s="71" t="s">
        <v>308</v>
      </c>
      <c r="B131" s="72" t="str">
        <f>IF(B122="-","-",B122*2)</f>
        <v>-</v>
      </c>
      <c r="C131" s="56">
        <v>3</v>
      </c>
      <c r="D131" s="56">
        <v>5</v>
      </c>
      <c r="E131" s="56">
        <v>3</v>
      </c>
      <c r="F131" s="56">
        <v>4</v>
      </c>
      <c r="G131" s="68" t="s">
        <v>142</v>
      </c>
      <c r="H131" s="68" t="s">
        <v>142</v>
      </c>
      <c r="I131" s="56">
        <v>2</v>
      </c>
      <c r="J131" s="56">
        <v>1</v>
      </c>
      <c r="K131" s="68" t="s">
        <v>142</v>
      </c>
      <c r="L131" s="58"/>
      <c r="M131" s="59"/>
      <c r="N131" s="56"/>
      <c r="O131" s="56">
        <v>1</v>
      </c>
      <c r="P131" s="68" t="s">
        <v>142</v>
      </c>
      <c r="Q131" s="56" t="s">
        <v>114</v>
      </c>
      <c r="R131" s="57">
        <v>1</v>
      </c>
      <c r="S131" s="60" t="str">
        <f>VLOOKUP(T131,RW,$Z$414,FALSE)</f>
        <v>3+</v>
      </c>
      <c r="T131" s="69">
        <f>VLOOKUP(Q131,Ruestung,$Z$406,FALSE)+IF(R131=1,1,0)</f>
        <v>4</v>
      </c>
      <c r="U131" s="62" t="s">
        <v>309</v>
      </c>
      <c r="V131" s="63"/>
      <c r="W131" s="63"/>
      <c r="X131" s="80" t="s">
        <v>10</v>
      </c>
    </row>
    <row r="132" spans="1:24" s="42" customFormat="1" ht="15.75" customHeight="1">
      <c r="A132" s="71"/>
      <c r="B132" s="56"/>
      <c r="C132" s="56"/>
      <c r="D132" s="56"/>
      <c r="E132" s="56"/>
      <c r="F132" s="56"/>
      <c r="G132" s="56"/>
      <c r="H132" s="56"/>
      <c r="I132" s="56"/>
      <c r="J132" s="56"/>
      <c r="K132" s="57"/>
      <c r="L132" s="58"/>
      <c r="M132" s="59"/>
      <c r="N132" s="56"/>
      <c r="O132" s="56"/>
      <c r="P132" s="56"/>
      <c r="Q132" s="56"/>
      <c r="R132" s="57"/>
      <c r="S132" s="60"/>
      <c r="T132" s="56"/>
      <c r="U132" s="62"/>
      <c r="V132" s="63"/>
      <c r="W132" s="63"/>
      <c r="X132" s="70"/>
    </row>
    <row r="133" spans="1:24" s="42" customFormat="1" ht="15.75" customHeight="1">
      <c r="A133" s="71"/>
      <c r="B133" s="56"/>
      <c r="C133" s="56"/>
      <c r="D133" s="56"/>
      <c r="E133" s="56"/>
      <c r="F133" s="56"/>
      <c r="G133" s="56"/>
      <c r="H133" s="56"/>
      <c r="I133" s="56"/>
      <c r="J133" s="56"/>
      <c r="K133" s="57"/>
      <c r="L133" s="58"/>
      <c r="M133" s="59"/>
      <c r="N133" s="56"/>
      <c r="O133" s="56"/>
      <c r="P133" s="56"/>
      <c r="Q133" s="56"/>
      <c r="R133" s="57"/>
      <c r="S133" s="60"/>
      <c r="T133" s="56"/>
      <c r="U133" s="62"/>
      <c r="V133" s="63"/>
      <c r="W133" s="63"/>
      <c r="X133" s="70"/>
    </row>
    <row r="134" spans="1:26" s="42" customFormat="1" ht="15.75" customHeight="1">
      <c r="A134" s="55" t="s">
        <v>368</v>
      </c>
      <c r="B134" s="66" t="s">
        <v>142</v>
      </c>
      <c r="C134" s="56">
        <v>3</v>
      </c>
      <c r="D134" s="56">
        <v>7</v>
      </c>
      <c r="E134" s="56">
        <v>3</v>
      </c>
      <c r="F134" s="67" t="s">
        <v>383</v>
      </c>
      <c r="G134" s="56">
        <v>5</v>
      </c>
      <c r="H134" s="56">
        <v>3</v>
      </c>
      <c r="I134" s="56">
        <v>5</v>
      </c>
      <c r="J134" s="67" t="s">
        <v>123</v>
      </c>
      <c r="K134" s="57">
        <v>10</v>
      </c>
      <c r="L134" s="58"/>
      <c r="M134" s="59"/>
      <c r="N134" s="56"/>
      <c r="O134" s="72">
        <v>2</v>
      </c>
      <c r="P134" s="72">
        <v>1</v>
      </c>
      <c r="Q134" s="68" t="s">
        <v>142</v>
      </c>
      <c r="R134" s="68" t="s">
        <v>142</v>
      </c>
      <c r="S134" s="60"/>
      <c r="T134" s="69"/>
      <c r="U134" s="62"/>
      <c r="V134" s="109" t="s">
        <v>142</v>
      </c>
      <c r="W134" s="112">
        <f>IF(B134="-",0,B134)*(140+IF(V134="-",0,V134))</f>
        <v>0</v>
      </c>
      <c r="X134" s="70" t="s">
        <v>61</v>
      </c>
      <c r="Y134" s="113"/>
      <c r="Z134" s="114"/>
    </row>
    <row r="135" spans="1:26" s="42" customFormat="1" ht="15.75" customHeight="1">
      <c r="A135" s="71"/>
      <c r="B135" s="72"/>
      <c r="C135" s="56"/>
      <c r="D135" s="56"/>
      <c r="E135" s="56"/>
      <c r="F135" s="56"/>
      <c r="G135" s="56"/>
      <c r="H135" s="56"/>
      <c r="I135" s="56"/>
      <c r="J135" s="56"/>
      <c r="K135" s="62"/>
      <c r="L135" s="115"/>
      <c r="M135" s="60"/>
      <c r="N135" s="56"/>
      <c r="O135" s="72"/>
      <c r="P135" s="72"/>
      <c r="Q135" s="56"/>
      <c r="R135" s="62"/>
      <c r="S135" s="60"/>
      <c r="T135" s="69"/>
      <c r="U135" s="62"/>
      <c r="V135" s="112"/>
      <c r="W135" s="112"/>
      <c r="X135" s="74" t="s">
        <v>68</v>
      </c>
      <c r="Y135" s="113"/>
      <c r="Z135" s="114"/>
    </row>
    <row r="136" spans="1:26" s="42" customFormat="1" ht="15.75" customHeight="1">
      <c r="A136" s="71"/>
      <c r="B136" s="72"/>
      <c r="C136" s="56"/>
      <c r="D136" s="56"/>
      <c r="E136" s="56"/>
      <c r="F136" s="56"/>
      <c r="G136" s="56"/>
      <c r="H136" s="56"/>
      <c r="I136" s="56"/>
      <c r="J136" s="56"/>
      <c r="K136" s="62"/>
      <c r="L136" s="115"/>
      <c r="M136" s="60"/>
      <c r="N136" s="56"/>
      <c r="O136" s="72"/>
      <c r="P136" s="72"/>
      <c r="Q136" s="56"/>
      <c r="R136" s="62"/>
      <c r="S136" s="60"/>
      <c r="T136" s="69"/>
      <c r="U136" s="62"/>
      <c r="V136" s="112"/>
      <c r="W136" s="112"/>
      <c r="X136" s="74" t="s">
        <v>67</v>
      </c>
      <c r="Y136" s="113"/>
      <c r="Z136" s="114"/>
    </row>
    <row r="137" spans="1:26" s="42" customFormat="1" ht="15.75" customHeight="1">
      <c r="A137" s="71"/>
      <c r="B137" s="72"/>
      <c r="C137" s="56"/>
      <c r="D137" s="56"/>
      <c r="E137" s="56"/>
      <c r="F137" s="56"/>
      <c r="G137" s="56"/>
      <c r="H137" s="56"/>
      <c r="I137" s="56"/>
      <c r="J137" s="56"/>
      <c r="K137" s="62"/>
      <c r="L137" s="115"/>
      <c r="M137" s="60"/>
      <c r="N137" s="56"/>
      <c r="O137" s="72"/>
      <c r="P137" s="72"/>
      <c r="Q137" s="56"/>
      <c r="R137" s="62"/>
      <c r="S137" s="60"/>
      <c r="T137" s="69"/>
      <c r="U137" s="62"/>
      <c r="V137" s="112"/>
      <c r="W137" s="112"/>
      <c r="X137" s="74" t="s">
        <v>388</v>
      </c>
      <c r="Y137" s="113"/>
      <c r="Z137" s="114"/>
    </row>
    <row r="138" spans="1:26" s="42" customFormat="1" ht="15.75" customHeight="1">
      <c r="A138" s="71"/>
      <c r="B138" s="72"/>
      <c r="C138" s="56"/>
      <c r="D138" s="56"/>
      <c r="E138" s="56"/>
      <c r="F138" s="56"/>
      <c r="G138" s="56"/>
      <c r="H138" s="56"/>
      <c r="I138" s="56"/>
      <c r="J138" s="56"/>
      <c r="K138" s="62"/>
      <c r="L138" s="115"/>
      <c r="M138" s="60"/>
      <c r="N138" s="56"/>
      <c r="O138" s="72"/>
      <c r="P138" s="72"/>
      <c r="Q138" s="56"/>
      <c r="R138" s="62"/>
      <c r="S138" s="60"/>
      <c r="T138" s="69"/>
      <c r="U138" s="62"/>
      <c r="V138" s="112"/>
      <c r="W138" s="112"/>
      <c r="X138" s="73" t="s">
        <v>62</v>
      </c>
      <c r="Y138" s="113"/>
      <c r="Z138" s="114"/>
    </row>
    <row r="139" spans="1:26" s="42" customFormat="1" ht="15.75" customHeight="1">
      <c r="A139" s="71"/>
      <c r="B139" s="72"/>
      <c r="C139" s="56"/>
      <c r="D139" s="56"/>
      <c r="E139" s="56"/>
      <c r="F139" s="56"/>
      <c r="G139" s="56"/>
      <c r="H139" s="56"/>
      <c r="I139" s="56"/>
      <c r="J139" s="56"/>
      <c r="K139" s="62"/>
      <c r="L139" s="115"/>
      <c r="M139" s="60"/>
      <c r="N139" s="56"/>
      <c r="O139" s="72"/>
      <c r="P139" s="72"/>
      <c r="Q139" s="56"/>
      <c r="R139" s="62"/>
      <c r="S139" s="60"/>
      <c r="T139" s="69"/>
      <c r="U139" s="62"/>
      <c r="V139" s="112"/>
      <c r="W139" s="112"/>
      <c r="X139" s="73" t="s">
        <v>63</v>
      </c>
      <c r="Y139" s="113"/>
      <c r="Z139" s="114"/>
    </row>
    <row r="140" spans="1:26" s="42" customFormat="1" ht="15.75" customHeight="1">
      <c r="A140" s="71"/>
      <c r="B140" s="72"/>
      <c r="C140" s="56"/>
      <c r="D140" s="56"/>
      <c r="E140" s="56"/>
      <c r="F140" s="56"/>
      <c r="G140" s="56"/>
      <c r="H140" s="56"/>
      <c r="I140" s="56"/>
      <c r="J140" s="56"/>
      <c r="K140" s="62"/>
      <c r="L140" s="115"/>
      <c r="M140" s="60"/>
      <c r="N140" s="56"/>
      <c r="O140" s="72"/>
      <c r="P140" s="72"/>
      <c r="Q140" s="56"/>
      <c r="R140" s="62"/>
      <c r="S140" s="60"/>
      <c r="T140" s="69"/>
      <c r="U140" s="62"/>
      <c r="V140" s="112"/>
      <c r="W140" s="112"/>
      <c r="X140" s="75" t="s">
        <v>65</v>
      </c>
      <c r="Y140" s="113"/>
      <c r="Z140" s="114"/>
    </row>
    <row r="141" spans="1:26" s="42" customFormat="1" ht="15.75" customHeight="1">
      <c r="A141" s="71"/>
      <c r="B141" s="72"/>
      <c r="C141" s="56"/>
      <c r="D141" s="56"/>
      <c r="E141" s="56"/>
      <c r="F141" s="56"/>
      <c r="G141" s="56"/>
      <c r="H141" s="56"/>
      <c r="I141" s="56"/>
      <c r="J141" s="56"/>
      <c r="K141" s="62"/>
      <c r="L141" s="115"/>
      <c r="M141" s="60"/>
      <c r="N141" s="56"/>
      <c r="O141" s="72"/>
      <c r="P141" s="72"/>
      <c r="Q141" s="56"/>
      <c r="R141" s="62"/>
      <c r="S141" s="60"/>
      <c r="T141" s="69"/>
      <c r="U141" s="62"/>
      <c r="V141" s="112"/>
      <c r="W141" s="112"/>
      <c r="X141" s="73" t="s">
        <v>66</v>
      </c>
      <c r="Y141" s="113"/>
      <c r="Z141" s="114"/>
    </row>
    <row r="142" spans="1:26" s="42" customFormat="1" ht="15.75" customHeight="1">
      <c r="A142" s="71"/>
      <c r="B142" s="72"/>
      <c r="C142" s="56"/>
      <c r="D142" s="56"/>
      <c r="E142" s="56"/>
      <c r="F142" s="56"/>
      <c r="G142" s="56"/>
      <c r="H142" s="56"/>
      <c r="I142" s="56"/>
      <c r="J142" s="56"/>
      <c r="K142" s="62"/>
      <c r="L142" s="115"/>
      <c r="M142" s="60"/>
      <c r="N142" s="56"/>
      <c r="O142" s="72"/>
      <c r="P142" s="72"/>
      <c r="Q142" s="56"/>
      <c r="R142" s="62"/>
      <c r="S142" s="60"/>
      <c r="T142" s="69"/>
      <c r="U142" s="62"/>
      <c r="V142" s="112"/>
      <c r="W142" s="112"/>
      <c r="X142" s="116"/>
      <c r="Y142" s="113"/>
      <c r="Z142" s="114"/>
    </row>
    <row r="143" spans="1:26" s="42" customFormat="1" ht="15.75" customHeight="1">
      <c r="A143" s="71"/>
      <c r="B143" s="72"/>
      <c r="C143" s="56"/>
      <c r="D143" s="56"/>
      <c r="E143" s="56"/>
      <c r="F143" s="56"/>
      <c r="G143" s="56"/>
      <c r="H143" s="56"/>
      <c r="I143" s="56"/>
      <c r="J143" s="56"/>
      <c r="K143" s="62"/>
      <c r="L143" s="115"/>
      <c r="M143" s="60"/>
      <c r="N143" s="56"/>
      <c r="O143" s="72"/>
      <c r="P143" s="72"/>
      <c r="Q143" s="56"/>
      <c r="R143" s="62"/>
      <c r="S143" s="60"/>
      <c r="T143" s="69"/>
      <c r="U143" s="62"/>
      <c r="V143" s="112"/>
      <c r="W143" s="112"/>
      <c r="X143" s="116"/>
      <c r="Y143" s="113"/>
      <c r="Z143" s="114"/>
    </row>
    <row r="144" spans="1:24" s="42" customFormat="1" ht="25.5" customHeight="1">
      <c r="A144" s="117" t="s">
        <v>111</v>
      </c>
      <c r="B144" s="118" t="s">
        <v>147</v>
      </c>
      <c r="C144" s="119" t="s">
        <v>145</v>
      </c>
      <c r="D144" s="119" t="s">
        <v>253</v>
      </c>
      <c r="E144" s="119" t="s">
        <v>206</v>
      </c>
      <c r="F144" s="119" t="s">
        <v>318</v>
      </c>
      <c r="G144" s="119" t="s">
        <v>146</v>
      </c>
      <c r="H144" s="119" t="s">
        <v>207</v>
      </c>
      <c r="I144" s="119" t="s">
        <v>208</v>
      </c>
      <c r="J144" s="119" t="s">
        <v>209</v>
      </c>
      <c r="K144" s="119" t="s">
        <v>210</v>
      </c>
      <c r="L144" s="120"/>
      <c r="M144" s="119" t="s">
        <v>139</v>
      </c>
      <c r="N144" s="119" t="s">
        <v>140</v>
      </c>
      <c r="O144" s="119" t="s">
        <v>311</v>
      </c>
      <c r="P144" s="119" t="s">
        <v>312</v>
      </c>
      <c r="Q144" s="119" t="s">
        <v>103</v>
      </c>
      <c r="R144" s="119" t="s">
        <v>105</v>
      </c>
      <c r="S144" s="121" t="s">
        <v>343</v>
      </c>
      <c r="T144" s="119"/>
      <c r="U144" s="122" t="s">
        <v>104</v>
      </c>
      <c r="V144" s="123" t="s">
        <v>187</v>
      </c>
      <c r="W144" s="124" t="s">
        <v>322</v>
      </c>
      <c r="X144" s="89" t="s">
        <v>410</v>
      </c>
    </row>
    <row r="145" spans="1:24" s="42" customFormat="1" ht="15" customHeight="1">
      <c r="A145" s="91"/>
      <c r="B145" s="56"/>
      <c r="C145" s="56"/>
      <c r="D145" s="56"/>
      <c r="E145" s="56"/>
      <c r="F145" s="56"/>
      <c r="G145" s="56"/>
      <c r="H145" s="56"/>
      <c r="I145" s="56"/>
      <c r="J145" s="56"/>
      <c r="K145" s="57"/>
      <c r="L145" s="95"/>
      <c r="M145" s="59"/>
      <c r="N145" s="56"/>
      <c r="O145" s="56"/>
      <c r="P145" s="56"/>
      <c r="Q145" s="56"/>
      <c r="R145" s="57"/>
      <c r="S145" s="60"/>
      <c r="T145" s="61"/>
      <c r="U145" s="62"/>
      <c r="V145" s="63"/>
      <c r="W145" s="63"/>
      <c r="X145" s="64"/>
    </row>
    <row r="146" spans="1:27" s="42" customFormat="1" ht="15.75" customHeight="1">
      <c r="A146" s="55" t="s">
        <v>214</v>
      </c>
      <c r="B146" s="66" t="s">
        <v>142</v>
      </c>
      <c r="C146" s="56">
        <v>3</v>
      </c>
      <c r="D146" s="56">
        <v>6</v>
      </c>
      <c r="E146" s="56">
        <v>5</v>
      </c>
      <c r="F146" s="67" t="s">
        <v>122</v>
      </c>
      <c r="G146" s="56">
        <v>5</v>
      </c>
      <c r="H146" s="56">
        <v>2</v>
      </c>
      <c r="I146" s="56">
        <v>4</v>
      </c>
      <c r="J146" s="56">
        <v>4</v>
      </c>
      <c r="K146" s="57">
        <v>10</v>
      </c>
      <c r="L146" s="125"/>
      <c r="M146" s="59"/>
      <c r="N146" s="56"/>
      <c r="O146" s="56">
        <v>1</v>
      </c>
      <c r="P146" s="68" t="s">
        <v>142</v>
      </c>
      <c r="Q146" s="56" t="s">
        <v>114</v>
      </c>
      <c r="R146" s="57">
        <v>1</v>
      </c>
      <c r="S146" s="60" t="str">
        <f>VLOOKUP(T146,RW,$Z$414,FALSE)</f>
        <v>3+</v>
      </c>
      <c r="T146" s="69">
        <f>VLOOKUP(Q146,Ruestung,$Z$406,FALSE)+IF(R146=1,1,0)</f>
        <v>4</v>
      </c>
      <c r="U146" s="62"/>
      <c r="V146" s="63"/>
      <c r="W146" s="63">
        <f>155*IF(B146="-",0,B146)</f>
        <v>0</v>
      </c>
      <c r="X146" s="70" t="s">
        <v>37</v>
      </c>
      <c r="Z146" s="93"/>
      <c r="AA146" s="93"/>
    </row>
    <row r="147" spans="1:24" s="42" customFormat="1" ht="15.75" customHeight="1">
      <c r="A147" s="65"/>
      <c r="B147" s="56"/>
      <c r="C147" s="56"/>
      <c r="D147" s="56"/>
      <c r="E147" s="56"/>
      <c r="F147" s="56"/>
      <c r="G147" s="56"/>
      <c r="H147" s="56"/>
      <c r="I147" s="56"/>
      <c r="J147" s="56"/>
      <c r="K147" s="57"/>
      <c r="L147" s="125"/>
      <c r="M147" s="59"/>
      <c r="N147" s="56"/>
      <c r="O147" s="56"/>
      <c r="P147" s="56"/>
      <c r="Q147" s="56"/>
      <c r="R147" s="57"/>
      <c r="S147" s="60"/>
      <c r="T147" s="61"/>
      <c r="U147" s="62"/>
      <c r="V147" s="63"/>
      <c r="W147" s="63"/>
      <c r="X147" s="70" t="s">
        <v>38</v>
      </c>
    </row>
    <row r="148" spans="1:24" s="42" customFormat="1" ht="15.75" customHeight="1">
      <c r="A148" s="65"/>
      <c r="B148" s="56"/>
      <c r="C148" s="56"/>
      <c r="D148" s="56"/>
      <c r="E148" s="56"/>
      <c r="F148" s="56"/>
      <c r="G148" s="56"/>
      <c r="H148" s="56"/>
      <c r="I148" s="56"/>
      <c r="J148" s="56"/>
      <c r="K148" s="57"/>
      <c r="L148" s="125"/>
      <c r="M148" s="59"/>
      <c r="N148" s="56"/>
      <c r="O148" s="56"/>
      <c r="P148" s="56"/>
      <c r="Q148" s="56"/>
      <c r="R148" s="57"/>
      <c r="S148" s="60"/>
      <c r="T148" s="61"/>
      <c r="U148" s="62"/>
      <c r="V148" s="63"/>
      <c r="W148" s="63"/>
      <c r="X148" s="70" t="s">
        <v>39</v>
      </c>
    </row>
    <row r="149" spans="1:24" s="42" customFormat="1" ht="15.75" customHeight="1">
      <c r="A149" s="65"/>
      <c r="B149" s="56"/>
      <c r="C149" s="56"/>
      <c r="D149" s="56"/>
      <c r="E149" s="56"/>
      <c r="F149" s="56"/>
      <c r="G149" s="56"/>
      <c r="H149" s="56"/>
      <c r="I149" s="56"/>
      <c r="J149" s="56"/>
      <c r="K149" s="57"/>
      <c r="L149" s="125"/>
      <c r="M149" s="59"/>
      <c r="N149" s="56"/>
      <c r="O149" s="56"/>
      <c r="P149" s="56"/>
      <c r="Q149" s="56"/>
      <c r="R149" s="57"/>
      <c r="S149" s="60"/>
      <c r="T149" s="61"/>
      <c r="U149" s="62"/>
      <c r="V149" s="63"/>
      <c r="W149" s="63"/>
      <c r="X149" s="73" t="s">
        <v>42</v>
      </c>
    </row>
    <row r="150" spans="1:24" s="42" customFormat="1" ht="15.75" customHeight="1">
      <c r="A150" s="126"/>
      <c r="B150" s="127"/>
      <c r="C150" s="127"/>
      <c r="D150" s="127"/>
      <c r="E150" s="127"/>
      <c r="F150" s="127"/>
      <c r="G150" s="127"/>
      <c r="H150" s="127"/>
      <c r="I150" s="127"/>
      <c r="J150" s="127"/>
      <c r="K150" s="128"/>
      <c r="L150" s="129"/>
      <c r="M150" s="130"/>
      <c r="N150" s="127"/>
      <c r="O150" s="127"/>
      <c r="P150" s="127"/>
      <c r="Q150" s="127"/>
      <c r="R150" s="131"/>
      <c r="S150" s="96"/>
      <c r="T150" s="132"/>
      <c r="U150" s="133"/>
      <c r="V150" s="134"/>
      <c r="W150" s="134"/>
      <c r="X150" s="135" t="s">
        <v>40</v>
      </c>
    </row>
    <row r="151" spans="1:24" s="42" customFormat="1" ht="15.75" customHeight="1">
      <c r="A151" s="126"/>
      <c r="B151" s="127"/>
      <c r="C151" s="127"/>
      <c r="D151" s="127"/>
      <c r="E151" s="127"/>
      <c r="F151" s="127"/>
      <c r="G151" s="127"/>
      <c r="H151" s="127"/>
      <c r="I151" s="127"/>
      <c r="J151" s="127"/>
      <c r="K151" s="128"/>
      <c r="L151" s="129"/>
      <c r="M151" s="130"/>
      <c r="N151" s="127"/>
      <c r="O151" s="127"/>
      <c r="P151" s="127"/>
      <c r="Q151" s="127"/>
      <c r="R151" s="131"/>
      <c r="S151" s="96"/>
      <c r="T151" s="132"/>
      <c r="U151" s="133"/>
      <c r="V151" s="134"/>
      <c r="W151" s="134"/>
      <c r="X151" s="135" t="s">
        <v>41</v>
      </c>
    </row>
    <row r="152" spans="1:24" s="42" customFormat="1" ht="15.75" customHeight="1">
      <c r="A152" s="126"/>
      <c r="B152" s="127"/>
      <c r="C152" s="127"/>
      <c r="D152" s="127"/>
      <c r="E152" s="127"/>
      <c r="F152" s="127"/>
      <c r="G152" s="127"/>
      <c r="H152" s="127"/>
      <c r="I152" s="127"/>
      <c r="J152" s="127"/>
      <c r="K152" s="128"/>
      <c r="L152" s="129"/>
      <c r="M152" s="130"/>
      <c r="N152" s="127"/>
      <c r="O152" s="127"/>
      <c r="P152" s="127"/>
      <c r="Q152" s="127"/>
      <c r="R152" s="131"/>
      <c r="S152" s="96"/>
      <c r="T152" s="132"/>
      <c r="U152" s="133"/>
      <c r="V152" s="134"/>
      <c r="W152" s="134"/>
      <c r="X152" s="135" t="s">
        <v>43</v>
      </c>
    </row>
    <row r="153" spans="1:24" s="42" customFormat="1" ht="15.75" customHeight="1">
      <c r="A153" s="126"/>
      <c r="B153" s="127"/>
      <c r="C153" s="127"/>
      <c r="D153" s="127"/>
      <c r="E153" s="127"/>
      <c r="F153" s="127"/>
      <c r="G153" s="127"/>
      <c r="H153" s="127"/>
      <c r="I153" s="127"/>
      <c r="J153" s="127"/>
      <c r="K153" s="128"/>
      <c r="L153" s="129"/>
      <c r="M153" s="130"/>
      <c r="N153" s="127"/>
      <c r="O153" s="127"/>
      <c r="P153" s="127"/>
      <c r="Q153" s="127"/>
      <c r="R153" s="131"/>
      <c r="S153" s="96"/>
      <c r="T153" s="132"/>
      <c r="U153" s="133"/>
      <c r="V153" s="134"/>
      <c r="W153" s="134"/>
      <c r="X153" s="135" t="s">
        <v>44</v>
      </c>
    </row>
    <row r="154" spans="1:24" s="42" customFormat="1" ht="15.75" customHeight="1">
      <c r="A154" s="126"/>
      <c r="B154" s="127"/>
      <c r="C154" s="127"/>
      <c r="D154" s="127"/>
      <c r="E154" s="127"/>
      <c r="F154" s="127"/>
      <c r="G154" s="127"/>
      <c r="H154" s="127"/>
      <c r="I154" s="127"/>
      <c r="J154" s="127"/>
      <c r="K154" s="128"/>
      <c r="L154" s="129"/>
      <c r="M154" s="130"/>
      <c r="N154" s="127"/>
      <c r="O154" s="127"/>
      <c r="P154" s="127"/>
      <c r="Q154" s="127"/>
      <c r="R154" s="131"/>
      <c r="S154" s="96"/>
      <c r="T154" s="132"/>
      <c r="U154" s="133"/>
      <c r="V154" s="134"/>
      <c r="W154" s="134"/>
      <c r="X154" s="135"/>
    </row>
    <row r="155" spans="1:24" s="42" customFormat="1" ht="15.75" customHeight="1">
      <c r="A155" s="126"/>
      <c r="B155" s="127"/>
      <c r="C155" s="127"/>
      <c r="D155" s="127"/>
      <c r="E155" s="127"/>
      <c r="F155" s="127"/>
      <c r="G155" s="127"/>
      <c r="H155" s="127"/>
      <c r="I155" s="127"/>
      <c r="J155" s="127"/>
      <c r="K155" s="128"/>
      <c r="L155" s="129"/>
      <c r="M155" s="130"/>
      <c r="N155" s="127"/>
      <c r="O155" s="127"/>
      <c r="P155" s="127"/>
      <c r="Q155" s="127"/>
      <c r="R155" s="131"/>
      <c r="S155" s="96"/>
      <c r="T155" s="132"/>
      <c r="U155" s="133"/>
      <c r="V155" s="134"/>
      <c r="W155" s="134"/>
      <c r="X155" s="135"/>
    </row>
    <row r="156" spans="1:24" s="42" customFormat="1" ht="15.75" customHeight="1">
      <c r="A156" s="65" t="s">
        <v>234</v>
      </c>
      <c r="B156" s="66" t="s">
        <v>142</v>
      </c>
      <c r="C156" s="56">
        <v>3</v>
      </c>
      <c r="D156" s="56">
        <v>4</v>
      </c>
      <c r="E156" s="56">
        <v>5</v>
      </c>
      <c r="F156" s="67" t="s">
        <v>235</v>
      </c>
      <c r="G156" s="56">
        <v>4</v>
      </c>
      <c r="H156" s="56">
        <v>2</v>
      </c>
      <c r="I156" s="56">
        <v>2</v>
      </c>
      <c r="J156" s="56">
        <v>2</v>
      </c>
      <c r="K156" s="57">
        <v>9</v>
      </c>
      <c r="L156" s="125"/>
      <c r="M156" s="59"/>
      <c r="N156" s="56"/>
      <c r="O156" s="56">
        <v>1</v>
      </c>
      <c r="P156" s="68" t="s">
        <v>142</v>
      </c>
      <c r="Q156" s="56" t="s">
        <v>114</v>
      </c>
      <c r="R156" s="68" t="s">
        <v>142</v>
      </c>
      <c r="S156" s="60" t="str">
        <f>VLOOKUP(T156,RW,$Z$414,FALSE)</f>
        <v>4+</v>
      </c>
      <c r="T156" s="69">
        <f>VLOOKUP(Q156,Ruestung,$Z$406,FALSE)+IF(R156=1,1,0)</f>
        <v>3</v>
      </c>
      <c r="U156" s="62"/>
      <c r="V156" s="63"/>
      <c r="W156" s="63">
        <f>155*IF(B156="-",0,B156)</f>
        <v>0</v>
      </c>
      <c r="X156" s="70" t="s">
        <v>178</v>
      </c>
    </row>
    <row r="157" spans="1:24" s="42" customFormat="1" ht="15.75" customHeight="1">
      <c r="A157" s="136"/>
      <c r="B157" s="137"/>
      <c r="C157" s="137"/>
      <c r="D157" s="137"/>
      <c r="E157" s="137"/>
      <c r="F157" s="137"/>
      <c r="G157" s="137"/>
      <c r="H157" s="137"/>
      <c r="I157" s="137"/>
      <c r="J157" s="137"/>
      <c r="K157" s="138"/>
      <c r="L157" s="139"/>
      <c r="M157" s="140"/>
      <c r="N157" s="137"/>
      <c r="O157" s="137"/>
      <c r="P157" s="137"/>
      <c r="Q157" s="137"/>
      <c r="R157" s="138"/>
      <c r="S157" s="141"/>
      <c r="T157" s="142"/>
      <c r="U157" s="143"/>
      <c r="V157" s="144"/>
      <c r="W157" s="144"/>
      <c r="X157" s="70" t="s">
        <v>45</v>
      </c>
    </row>
    <row r="158" spans="1:24" s="42" customFormat="1" ht="15.75" customHeight="1">
      <c r="A158" s="136"/>
      <c r="B158" s="137"/>
      <c r="C158" s="137"/>
      <c r="D158" s="137"/>
      <c r="E158" s="137"/>
      <c r="F158" s="137"/>
      <c r="G158" s="137"/>
      <c r="H158" s="137"/>
      <c r="I158" s="137"/>
      <c r="J158" s="137"/>
      <c r="K158" s="138"/>
      <c r="L158" s="139"/>
      <c r="M158" s="140"/>
      <c r="N158" s="137"/>
      <c r="O158" s="137"/>
      <c r="P158" s="137"/>
      <c r="Q158" s="137"/>
      <c r="R158" s="138"/>
      <c r="S158" s="141"/>
      <c r="T158" s="142"/>
      <c r="U158" s="143"/>
      <c r="V158" s="144"/>
      <c r="W158" s="144"/>
      <c r="X158" s="73" t="s">
        <v>180</v>
      </c>
    </row>
    <row r="159" spans="1:24" s="42" customFormat="1" ht="15.75" customHeight="1">
      <c r="A159" s="145"/>
      <c r="B159" s="146"/>
      <c r="C159" s="146"/>
      <c r="D159" s="146"/>
      <c r="E159" s="146"/>
      <c r="F159" s="146"/>
      <c r="G159" s="146"/>
      <c r="H159" s="146"/>
      <c r="I159" s="146"/>
      <c r="J159" s="146"/>
      <c r="K159" s="147"/>
      <c r="L159" s="148"/>
      <c r="M159" s="149"/>
      <c r="N159" s="146"/>
      <c r="O159" s="146"/>
      <c r="P159" s="146"/>
      <c r="Q159" s="146"/>
      <c r="R159" s="150"/>
      <c r="S159" s="151"/>
      <c r="T159" s="152"/>
      <c r="U159" s="153"/>
      <c r="V159" s="154"/>
      <c r="W159" s="154"/>
      <c r="X159" s="73" t="s">
        <v>93</v>
      </c>
    </row>
    <row r="160" spans="1:24" s="42" customFormat="1" ht="15.75" customHeight="1">
      <c r="A160" s="145"/>
      <c r="B160" s="146"/>
      <c r="C160" s="146"/>
      <c r="D160" s="146"/>
      <c r="E160" s="146"/>
      <c r="F160" s="146"/>
      <c r="G160" s="146"/>
      <c r="H160" s="146"/>
      <c r="I160" s="146"/>
      <c r="J160" s="146"/>
      <c r="K160" s="147"/>
      <c r="L160" s="148"/>
      <c r="M160" s="149"/>
      <c r="N160" s="146"/>
      <c r="O160" s="146"/>
      <c r="P160" s="146"/>
      <c r="Q160" s="146"/>
      <c r="R160" s="150"/>
      <c r="S160" s="151"/>
      <c r="T160" s="152"/>
      <c r="U160" s="153"/>
      <c r="V160" s="154"/>
      <c r="W160" s="154"/>
      <c r="X160" s="73" t="s">
        <v>46</v>
      </c>
    </row>
    <row r="161" spans="1:24" s="42" customFormat="1" ht="15.75" customHeight="1">
      <c r="A161" s="145"/>
      <c r="B161" s="146"/>
      <c r="C161" s="146"/>
      <c r="D161" s="146"/>
      <c r="E161" s="146"/>
      <c r="F161" s="146"/>
      <c r="G161" s="146"/>
      <c r="H161" s="146"/>
      <c r="I161" s="146"/>
      <c r="J161" s="146"/>
      <c r="K161" s="147"/>
      <c r="L161" s="148"/>
      <c r="M161" s="149"/>
      <c r="N161" s="146"/>
      <c r="O161" s="146"/>
      <c r="P161" s="146"/>
      <c r="Q161" s="146"/>
      <c r="R161" s="150"/>
      <c r="S161" s="151"/>
      <c r="T161" s="152"/>
      <c r="U161" s="153"/>
      <c r="V161" s="154"/>
      <c r="W161" s="154"/>
      <c r="X161" s="80" t="s">
        <v>169</v>
      </c>
    </row>
    <row r="162" spans="1:24" s="42" customFormat="1" ht="15.75" customHeight="1">
      <c r="A162" s="145"/>
      <c r="B162" s="146"/>
      <c r="C162" s="146"/>
      <c r="D162" s="146"/>
      <c r="E162" s="146"/>
      <c r="F162" s="146"/>
      <c r="G162" s="146"/>
      <c r="H162" s="146"/>
      <c r="I162" s="146"/>
      <c r="J162" s="146"/>
      <c r="K162" s="147"/>
      <c r="L162" s="148"/>
      <c r="M162" s="149"/>
      <c r="N162" s="146"/>
      <c r="O162" s="146"/>
      <c r="P162" s="146"/>
      <c r="Q162" s="146"/>
      <c r="R162" s="150"/>
      <c r="S162" s="151"/>
      <c r="T162" s="152"/>
      <c r="U162" s="153"/>
      <c r="V162" s="154"/>
      <c r="W162" s="154"/>
      <c r="X162" s="73" t="s">
        <v>170</v>
      </c>
    </row>
    <row r="163" spans="1:24" s="42" customFormat="1" ht="15.75" customHeight="1">
      <c r="A163" s="145"/>
      <c r="B163" s="146"/>
      <c r="C163" s="146"/>
      <c r="D163" s="146"/>
      <c r="E163" s="146"/>
      <c r="F163" s="146"/>
      <c r="G163" s="146"/>
      <c r="H163" s="146"/>
      <c r="I163" s="146"/>
      <c r="J163" s="146"/>
      <c r="K163" s="147"/>
      <c r="L163" s="148"/>
      <c r="M163" s="149"/>
      <c r="N163" s="146"/>
      <c r="O163" s="146"/>
      <c r="P163" s="146"/>
      <c r="Q163" s="146"/>
      <c r="R163" s="150"/>
      <c r="S163" s="151"/>
      <c r="T163" s="152"/>
      <c r="U163" s="153"/>
      <c r="V163" s="154"/>
      <c r="W163" s="154"/>
      <c r="X163" s="155" t="s">
        <v>171</v>
      </c>
    </row>
    <row r="164" spans="1:24" s="42" customFormat="1" ht="15.75" customHeight="1">
      <c r="A164" s="145"/>
      <c r="B164" s="146"/>
      <c r="C164" s="146"/>
      <c r="D164" s="146"/>
      <c r="E164" s="146"/>
      <c r="F164" s="146"/>
      <c r="G164" s="146"/>
      <c r="H164" s="146"/>
      <c r="I164" s="146"/>
      <c r="J164" s="146"/>
      <c r="K164" s="147"/>
      <c r="L164" s="148"/>
      <c r="M164" s="149"/>
      <c r="N164" s="146"/>
      <c r="O164" s="146"/>
      <c r="P164" s="146"/>
      <c r="Q164" s="146"/>
      <c r="R164" s="150"/>
      <c r="S164" s="151"/>
      <c r="T164" s="152"/>
      <c r="U164" s="153"/>
      <c r="V164" s="154"/>
      <c r="W164" s="154"/>
      <c r="X164" s="135" t="s">
        <v>91</v>
      </c>
    </row>
    <row r="165" spans="1:24" s="42" customFormat="1" ht="15.75" customHeight="1">
      <c r="A165" s="145"/>
      <c r="B165" s="146"/>
      <c r="C165" s="146"/>
      <c r="D165" s="146"/>
      <c r="E165" s="146"/>
      <c r="F165" s="146"/>
      <c r="G165" s="146"/>
      <c r="H165" s="146"/>
      <c r="I165" s="146"/>
      <c r="J165" s="146"/>
      <c r="K165" s="147"/>
      <c r="L165" s="148"/>
      <c r="M165" s="149"/>
      <c r="N165" s="146"/>
      <c r="O165" s="146"/>
      <c r="P165" s="146"/>
      <c r="Q165" s="146"/>
      <c r="R165" s="150"/>
      <c r="S165" s="151"/>
      <c r="T165" s="152"/>
      <c r="U165" s="153"/>
      <c r="V165" s="154"/>
      <c r="W165" s="154"/>
      <c r="X165" s="135" t="s">
        <v>92</v>
      </c>
    </row>
    <row r="166" spans="1:24" s="42" customFormat="1" ht="15.75" customHeight="1">
      <c r="A166" s="145"/>
      <c r="B166" s="146"/>
      <c r="C166" s="146"/>
      <c r="D166" s="146"/>
      <c r="E166" s="146"/>
      <c r="F166" s="146"/>
      <c r="G166" s="146"/>
      <c r="H166" s="146"/>
      <c r="I166" s="146"/>
      <c r="J166" s="146"/>
      <c r="K166" s="147"/>
      <c r="L166" s="148"/>
      <c r="M166" s="149"/>
      <c r="N166" s="146"/>
      <c r="O166" s="146"/>
      <c r="P166" s="146"/>
      <c r="Q166" s="146"/>
      <c r="R166" s="150"/>
      <c r="S166" s="151"/>
      <c r="T166" s="152"/>
      <c r="U166" s="153"/>
      <c r="V166" s="154"/>
      <c r="W166" s="154"/>
      <c r="X166" s="135"/>
    </row>
    <row r="167" spans="1:24" s="42" customFormat="1" ht="15.75" customHeight="1">
      <c r="A167" s="145"/>
      <c r="B167" s="146"/>
      <c r="C167" s="146"/>
      <c r="D167" s="146"/>
      <c r="E167" s="146"/>
      <c r="F167" s="146"/>
      <c r="G167" s="146"/>
      <c r="H167" s="146"/>
      <c r="I167" s="146"/>
      <c r="J167" s="146"/>
      <c r="K167" s="147"/>
      <c r="L167" s="148"/>
      <c r="M167" s="149"/>
      <c r="N167" s="146"/>
      <c r="O167" s="146"/>
      <c r="P167" s="146"/>
      <c r="Q167" s="146"/>
      <c r="R167" s="150"/>
      <c r="S167" s="151"/>
      <c r="T167" s="152"/>
      <c r="U167" s="153"/>
      <c r="V167" s="154"/>
      <c r="W167" s="154"/>
      <c r="X167" s="135"/>
    </row>
    <row r="168" spans="1:27" s="42" customFormat="1" ht="24.75" customHeight="1">
      <c r="A168" s="156" t="s">
        <v>411</v>
      </c>
      <c r="B168" s="83" t="s">
        <v>147</v>
      </c>
      <c r="C168" s="84" t="s">
        <v>145</v>
      </c>
      <c r="D168" s="84" t="s">
        <v>253</v>
      </c>
      <c r="E168" s="84" t="s">
        <v>206</v>
      </c>
      <c r="F168" s="84" t="s">
        <v>318</v>
      </c>
      <c r="G168" s="84" t="s">
        <v>146</v>
      </c>
      <c r="H168" s="84" t="s">
        <v>207</v>
      </c>
      <c r="I168" s="84" t="s">
        <v>208</v>
      </c>
      <c r="J168" s="84" t="s">
        <v>209</v>
      </c>
      <c r="K168" s="84" t="s">
        <v>210</v>
      </c>
      <c r="L168" s="157"/>
      <c r="M168" s="84" t="s">
        <v>139</v>
      </c>
      <c r="N168" s="84" t="s">
        <v>140</v>
      </c>
      <c r="O168" s="84" t="s">
        <v>311</v>
      </c>
      <c r="P168" s="84" t="s">
        <v>312</v>
      </c>
      <c r="Q168" s="84" t="s">
        <v>103</v>
      </c>
      <c r="R168" s="84" t="s">
        <v>105</v>
      </c>
      <c r="S168" s="86" t="s">
        <v>343</v>
      </c>
      <c r="T168" s="84"/>
      <c r="U168" s="88" t="s">
        <v>104</v>
      </c>
      <c r="V168" s="89" t="s">
        <v>187</v>
      </c>
      <c r="W168" s="90" t="s">
        <v>322</v>
      </c>
      <c r="X168" s="158" t="s">
        <v>410</v>
      </c>
      <c r="Z168" s="93">
        <f>SUM(W145:W149)+SUM(W169:W210)</f>
        <v>0</v>
      </c>
      <c r="AA168" s="93" t="s">
        <v>134</v>
      </c>
    </row>
    <row r="169" spans="1:24" s="42" customFormat="1" ht="15.75" customHeight="1">
      <c r="A169" s="55"/>
      <c r="B169" s="56"/>
      <c r="C169" s="56"/>
      <c r="D169" s="56"/>
      <c r="E169" s="56"/>
      <c r="F169" s="56"/>
      <c r="G169" s="56"/>
      <c r="H169" s="56"/>
      <c r="I169" s="56"/>
      <c r="J169" s="56"/>
      <c r="K169" s="57"/>
      <c r="L169" s="125"/>
      <c r="M169" s="59"/>
      <c r="N169" s="56"/>
      <c r="O169" s="56"/>
      <c r="P169" s="56"/>
      <c r="Q169" s="56"/>
      <c r="R169" s="57"/>
      <c r="S169" s="96"/>
      <c r="T169" s="159"/>
      <c r="U169" s="62"/>
      <c r="V169" s="63"/>
      <c r="W169" s="63"/>
      <c r="X169" s="70"/>
    </row>
    <row r="170" spans="1:24" s="42" customFormat="1" ht="15.75" customHeight="1">
      <c r="A170" s="71"/>
      <c r="B170" s="56"/>
      <c r="C170" s="56"/>
      <c r="D170" s="56"/>
      <c r="E170" s="56"/>
      <c r="F170" s="56"/>
      <c r="G170" s="56"/>
      <c r="H170" s="56"/>
      <c r="I170" s="56"/>
      <c r="J170" s="56"/>
      <c r="K170" s="57"/>
      <c r="L170" s="125"/>
      <c r="M170" s="59"/>
      <c r="N170" s="56"/>
      <c r="O170" s="56"/>
      <c r="P170" s="57"/>
      <c r="Q170" s="56"/>
      <c r="R170" s="57"/>
      <c r="S170" s="96"/>
      <c r="T170" s="159"/>
      <c r="U170" s="62"/>
      <c r="V170" s="63"/>
      <c r="W170" s="63"/>
      <c r="X170" s="70"/>
    </row>
    <row r="171" spans="1:24" s="42" customFormat="1" ht="15.75" customHeight="1">
      <c r="A171" s="71"/>
      <c r="B171" s="56"/>
      <c r="C171" s="56"/>
      <c r="D171" s="56"/>
      <c r="E171" s="56"/>
      <c r="F171" s="56"/>
      <c r="G171" s="56"/>
      <c r="H171" s="56"/>
      <c r="I171" s="56"/>
      <c r="J171" s="56"/>
      <c r="K171" s="57"/>
      <c r="L171" s="125"/>
      <c r="M171" s="59"/>
      <c r="N171" s="56"/>
      <c r="O171" s="56"/>
      <c r="P171" s="56"/>
      <c r="Q171" s="56"/>
      <c r="R171" s="57"/>
      <c r="S171" s="96"/>
      <c r="T171" s="159"/>
      <c r="U171" s="62"/>
      <c r="V171" s="63"/>
      <c r="W171" s="63"/>
      <c r="X171" s="70"/>
    </row>
    <row r="172" spans="1:24" s="42" customFormat="1" ht="15.75" customHeight="1">
      <c r="A172" s="71" t="s">
        <v>277</v>
      </c>
      <c r="B172" s="66" t="s">
        <v>142</v>
      </c>
      <c r="C172" s="56">
        <v>3</v>
      </c>
      <c r="D172" s="56">
        <v>6</v>
      </c>
      <c r="E172" s="56">
        <v>4</v>
      </c>
      <c r="F172" s="67" t="s">
        <v>383</v>
      </c>
      <c r="G172" s="56">
        <v>5</v>
      </c>
      <c r="H172" s="56">
        <v>2</v>
      </c>
      <c r="I172" s="56">
        <v>3</v>
      </c>
      <c r="J172" s="56">
        <v>3</v>
      </c>
      <c r="K172" s="57">
        <v>10</v>
      </c>
      <c r="L172" s="125"/>
      <c r="M172" s="59"/>
      <c r="N172" s="56"/>
      <c r="O172" s="72">
        <v>1</v>
      </c>
      <c r="P172" s="66" t="s">
        <v>142</v>
      </c>
      <c r="Q172" s="72" t="s">
        <v>114</v>
      </c>
      <c r="R172" s="108" t="s">
        <v>142</v>
      </c>
      <c r="S172" s="60" t="str">
        <f>VLOOKUP(T172,RW,$Z$414,FALSE)</f>
        <v>4+</v>
      </c>
      <c r="T172" s="69">
        <f>VLOOKUP(Q172,Ruestung,$Z$406,FALSE)+IF(R172=1,1,0)</f>
        <v>3</v>
      </c>
      <c r="U172" s="62"/>
      <c r="V172" s="109" t="s">
        <v>142</v>
      </c>
      <c r="W172" s="112">
        <f>IF(B172="-",0,B172)*(65+IF(P172=1,6,0)+IF(R172=1,3,0)+IF(V172="-",0,V172)+VLOOKUP(X177,Waffen,$AA$451,FALSE)+VLOOKUP(X175,Waffen,$AA$451,FALSE)+VLOOKUP(X179,King,$Z$467,FALSE))</f>
        <v>0</v>
      </c>
      <c r="X172" s="70" t="s">
        <v>258</v>
      </c>
    </row>
    <row r="173" spans="1:24" s="42" customFormat="1" ht="15.75" customHeight="1">
      <c r="A173" s="160" t="s">
        <v>155</v>
      </c>
      <c r="B173" s="66" t="s">
        <v>142</v>
      </c>
      <c r="C173" s="56"/>
      <c r="D173" s="56"/>
      <c r="E173" s="56"/>
      <c r="F173" s="56"/>
      <c r="G173" s="56"/>
      <c r="H173" s="56"/>
      <c r="I173" s="56"/>
      <c r="J173" s="56"/>
      <c r="K173" s="57"/>
      <c r="L173" s="161"/>
      <c r="M173" s="59"/>
      <c r="N173" s="56"/>
      <c r="O173" s="56"/>
      <c r="P173" s="56"/>
      <c r="Q173" s="56"/>
      <c r="R173" s="57"/>
      <c r="S173" s="60"/>
      <c r="T173" s="56"/>
      <c r="U173" s="62"/>
      <c r="V173" s="109" t="s">
        <v>142</v>
      </c>
      <c r="W173" s="63">
        <f>IF(B173="-",0,B173)*(25+IF(V173="-",0,V173))</f>
        <v>0</v>
      </c>
      <c r="X173" s="162" t="s">
        <v>236</v>
      </c>
    </row>
    <row r="174" spans="1:24" s="42" customFormat="1" ht="15.75" customHeight="1">
      <c r="A174" s="160"/>
      <c r="B174" s="56"/>
      <c r="C174" s="56"/>
      <c r="D174" s="56"/>
      <c r="E174" s="56"/>
      <c r="F174" s="56"/>
      <c r="G174" s="56"/>
      <c r="H174" s="56"/>
      <c r="I174" s="56"/>
      <c r="J174" s="56"/>
      <c r="K174" s="57"/>
      <c r="L174" s="161"/>
      <c r="M174" s="59"/>
      <c r="N174" s="56"/>
      <c r="O174" s="56"/>
      <c r="P174" s="56"/>
      <c r="Q174" s="56"/>
      <c r="R174" s="57"/>
      <c r="S174" s="60"/>
      <c r="T174" s="56"/>
      <c r="U174" s="62"/>
      <c r="V174" s="63"/>
      <c r="W174" s="63"/>
      <c r="X174" s="163" t="s">
        <v>237</v>
      </c>
    </row>
    <row r="175" spans="1:24" s="42" customFormat="1" ht="15.75" customHeight="1">
      <c r="A175" s="71"/>
      <c r="B175" s="56"/>
      <c r="C175" s="56"/>
      <c r="D175" s="56"/>
      <c r="E175" s="56"/>
      <c r="F175" s="56"/>
      <c r="G175" s="56"/>
      <c r="H175" s="56"/>
      <c r="I175" s="56"/>
      <c r="J175" s="56"/>
      <c r="K175" s="57"/>
      <c r="L175" s="58"/>
      <c r="M175" s="59"/>
      <c r="N175" s="56"/>
      <c r="O175" s="56"/>
      <c r="P175" s="56"/>
      <c r="Q175" s="56"/>
      <c r="R175" s="57"/>
      <c r="S175" s="60"/>
      <c r="T175" s="56"/>
      <c r="U175" s="62"/>
      <c r="V175" s="63"/>
      <c r="W175" s="63"/>
      <c r="X175" s="80" t="s">
        <v>330</v>
      </c>
    </row>
    <row r="176" spans="1:24" s="42" customFormat="1" ht="15.75" customHeight="1">
      <c r="A176" s="71"/>
      <c r="B176" s="56"/>
      <c r="C176" s="56"/>
      <c r="D176" s="56"/>
      <c r="E176" s="56"/>
      <c r="F176" s="56"/>
      <c r="G176" s="56"/>
      <c r="H176" s="56"/>
      <c r="I176" s="56"/>
      <c r="J176" s="56"/>
      <c r="K176" s="57"/>
      <c r="L176" s="125"/>
      <c r="M176" s="59"/>
      <c r="N176" s="56"/>
      <c r="O176" s="56"/>
      <c r="P176" s="56"/>
      <c r="Q176" s="56"/>
      <c r="R176" s="57"/>
      <c r="S176" s="79"/>
      <c r="T176" s="44"/>
      <c r="U176" s="62"/>
      <c r="V176" s="63"/>
      <c r="W176" s="63"/>
      <c r="X176" s="80" t="str">
        <f>VLOOKUP(X175,Waffen,$Y$451,FALSE)</f>
        <v>-</v>
      </c>
    </row>
    <row r="177" spans="1:24" s="42" customFormat="1" ht="15.75" customHeight="1">
      <c r="A177" s="71"/>
      <c r="B177" s="56"/>
      <c r="C177" s="56"/>
      <c r="D177" s="56"/>
      <c r="E177" s="56"/>
      <c r="F177" s="56"/>
      <c r="G177" s="56"/>
      <c r="H177" s="56"/>
      <c r="I177" s="56"/>
      <c r="J177" s="56"/>
      <c r="K177" s="57"/>
      <c r="L177" s="125"/>
      <c r="M177" s="59"/>
      <c r="N177" s="56"/>
      <c r="O177" s="56"/>
      <c r="P177" s="56"/>
      <c r="Q177" s="56"/>
      <c r="R177" s="57"/>
      <c r="S177" s="79"/>
      <c r="T177" s="44"/>
      <c r="U177" s="62"/>
      <c r="V177" s="63"/>
      <c r="W177" s="63"/>
      <c r="X177" s="80" t="s">
        <v>330</v>
      </c>
    </row>
    <row r="178" spans="1:24" s="42" customFormat="1" ht="15.75" customHeight="1">
      <c r="A178" s="71"/>
      <c r="B178" s="56"/>
      <c r="C178" s="56"/>
      <c r="D178" s="56"/>
      <c r="E178" s="56"/>
      <c r="F178" s="56"/>
      <c r="G178" s="56"/>
      <c r="H178" s="56"/>
      <c r="I178" s="56"/>
      <c r="J178" s="56"/>
      <c r="K178" s="57"/>
      <c r="L178" s="125"/>
      <c r="M178" s="59"/>
      <c r="N178" s="56"/>
      <c r="O178" s="56"/>
      <c r="P178" s="56"/>
      <c r="Q178" s="56"/>
      <c r="R178" s="57"/>
      <c r="S178" s="79"/>
      <c r="T178" s="44"/>
      <c r="U178" s="62"/>
      <c r="V178" s="63"/>
      <c r="W178" s="63"/>
      <c r="X178" s="80" t="str">
        <f>VLOOKUP(X177,Waffen,$Y$451,FALSE)</f>
        <v>-</v>
      </c>
    </row>
    <row r="179" spans="1:24" s="42" customFormat="1" ht="15.75" customHeight="1">
      <c r="A179" s="71"/>
      <c r="B179" s="56"/>
      <c r="C179" s="56"/>
      <c r="D179" s="56"/>
      <c r="E179" s="56"/>
      <c r="F179" s="56"/>
      <c r="G179" s="56"/>
      <c r="H179" s="56"/>
      <c r="I179" s="56"/>
      <c r="J179" s="56"/>
      <c r="K179" s="57"/>
      <c r="L179" s="125"/>
      <c r="M179" s="59"/>
      <c r="N179" s="56"/>
      <c r="O179" s="56"/>
      <c r="P179" s="56"/>
      <c r="Q179" s="56"/>
      <c r="R179" s="57"/>
      <c r="S179" s="79"/>
      <c r="T179" s="44"/>
      <c r="U179" s="62"/>
      <c r="V179" s="63"/>
      <c r="W179" s="63"/>
      <c r="X179" s="80" t="s">
        <v>240</v>
      </c>
    </row>
    <row r="180" spans="1:24" s="42" customFormat="1" ht="15.75" customHeight="1">
      <c r="A180" s="71"/>
      <c r="B180" s="56"/>
      <c r="C180" s="56"/>
      <c r="D180" s="56"/>
      <c r="E180" s="56"/>
      <c r="F180" s="56"/>
      <c r="G180" s="56"/>
      <c r="H180" s="56"/>
      <c r="I180" s="56"/>
      <c r="J180" s="56"/>
      <c r="K180" s="57"/>
      <c r="L180" s="125"/>
      <c r="M180" s="59"/>
      <c r="N180" s="56"/>
      <c r="O180" s="56"/>
      <c r="P180" s="56"/>
      <c r="Q180" s="56"/>
      <c r="R180" s="57"/>
      <c r="S180" s="79"/>
      <c r="T180" s="44"/>
      <c r="U180" s="62"/>
      <c r="V180" s="63"/>
      <c r="W180" s="63"/>
      <c r="X180" s="80" t="str">
        <f>VLOOKUP(X179,King,$Y$467,FALSE)</f>
        <v>-</v>
      </c>
    </row>
    <row r="181" spans="1:24" s="42" customFormat="1" ht="15.75" customHeight="1">
      <c r="A181" s="71"/>
      <c r="B181" s="56"/>
      <c r="C181" s="56"/>
      <c r="D181" s="56"/>
      <c r="E181" s="56"/>
      <c r="F181" s="56"/>
      <c r="G181" s="56"/>
      <c r="H181" s="56"/>
      <c r="I181" s="56"/>
      <c r="J181" s="56"/>
      <c r="K181" s="57"/>
      <c r="L181" s="125"/>
      <c r="M181" s="59"/>
      <c r="N181" s="56"/>
      <c r="O181" s="56"/>
      <c r="P181" s="56"/>
      <c r="Q181" s="56"/>
      <c r="R181" s="57"/>
      <c r="S181" s="79"/>
      <c r="T181" s="44"/>
      <c r="U181" s="62"/>
      <c r="V181" s="63"/>
      <c r="W181" s="63"/>
      <c r="X181" s="70"/>
    </row>
    <row r="182" spans="1:24" s="42" customFormat="1" ht="15.75" customHeight="1">
      <c r="A182" s="71"/>
      <c r="B182" s="56"/>
      <c r="C182" s="56"/>
      <c r="D182" s="56"/>
      <c r="E182" s="56"/>
      <c r="F182" s="56"/>
      <c r="G182" s="56"/>
      <c r="H182" s="56"/>
      <c r="I182" s="56"/>
      <c r="J182" s="56"/>
      <c r="K182" s="57"/>
      <c r="L182" s="125"/>
      <c r="M182" s="59"/>
      <c r="N182" s="56"/>
      <c r="O182" s="56"/>
      <c r="P182" s="56"/>
      <c r="Q182" s="56"/>
      <c r="R182" s="57"/>
      <c r="S182" s="79"/>
      <c r="T182" s="44"/>
      <c r="U182" s="62"/>
      <c r="V182" s="63"/>
      <c r="W182" s="63"/>
      <c r="X182" s="70"/>
    </row>
    <row r="183" spans="1:24" s="42" customFormat="1" ht="15.75" customHeight="1">
      <c r="A183" s="71" t="s">
        <v>243</v>
      </c>
      <c r="B183" s="66" t="s">
        <v>142</v>
      </c>
      <c r="C183" s="56">
        <v>3</v>
      </c>
      <c r="D183" s="56">
        <v>5</v>
      </c>
      <c r="E183" s="56">
        <v>4</v>
      </c>
      <c r="F183" s="67" t="s">
        <v>123</v>
      </c>
      <c r="G183" s="56">
        <v>4</v>
      </c>
      <c r="H183" s="56">
        <v>2</v>
      </c>
      <c r="I183" s="56">
        <v>2</v>
      </c>
      <c r="J183" s="56">
        <v>2</v>
      </c>
      <c r="K183" s="57">
        <v>9</v>
      </c>
      <c r="L183" s="125"/>
      <c r="M183" s="59"/>
      <c r="N183" s="56"/>
      <c r="O183" s="72">
        <v>1</v>
      </c>
      <c r="P183" s="66" t="s">
        <v>142</v>
      </c>
      <c r="Q183" s="72" t="s">
        <v>114</v>
      </c>
      <c r="R183" s="108" t="s">
        <v>142</v>
      </c>
      <c r="S183" s="60" t="str">
        <f>VLOOKUP(T183,RW,$Z$414,FALSE)</f>
        <v>4+</v>
      </c>
      <c r="T183" s="69">
        <f>VLOOKUP(Q183,Ruestung,$Z$406,FALSE)+IF(R183=1,1,0)</f>
        <v>3</v>
      </c>
      <c r="U183" s="62"/>
      <c r="V183" s="109" t="s">
        <v>142</v>
      </c>
      <c r="W183" s="63">
        <f>IF(B183="-",0,B183)*(60+IF(P183=1,6,0)+IF(R183=1,3,0)+IF(V183="-",0,V183))</f>
        <v>0</v>
      </c>
      <c r="X183" s="70" t="s">
        <v>258</v>
      </c>
    </row>
    <row r="184" spans="1:24" s="42" customFormat="1" ht="15.75" customHeight="1">
      <c r="A184" s="71"/>
      <c r="B184" s="56"/>
      <c r="C184" s="56"/>
      <c r="D184" s="56"/>
      <c r="E184" s="56"/>
      <c r="F184" s="56"/>
      <c r="G184" s="56"/>
      <c r="H184" s="56"/>
      <c r="I184" s="56"/>
      <c r="J184" s="56"/>
      <c r="K184" s="57"/>
      <c r="L184" s="125"/>
      <c r="M184" s="59"/>
      <c r="N184" s="56"/>
      <c r="O184" s="56"/>
      <c r="P184" s="56"/>
      <c r="Q184" s="56"/>
      <c r="R184" s="57"/>
      <c r="S184" s="79"/>
      <c r="T184" s="44"/>
      <c r="U184" s="62"/>
      <c r="V184" s="63"/>
      <c r="W184" s="63"/>
      <c r="X184" s="70" t="s">
        <v>175</v>
      </c>
    </row>
    <row r="185" spans="1:24" s="42" customFormat="1" ht="15.75" customHeight="1">
      <c r="A185" s="71"/>
      <c r="B185" s="56"/>
      <c r="C185" s="56"/>
      <c r="D185" s="56"/>
      <c r="E185" s="56"/>
      <c r="F185" s="56"/>
      <c r="G185" s="56"/>
      <c r="H185" s="56"/>
      <c r="I185" s="56"/>
      <c r="J185" s="56"/>
      <c r="K185" s="57"/>
      <c r="L185" s="125"/>
      <c r="M185" s="59"/>
      <c r="N185" s="56"/>
      <c r="O185" s="56"/>
      <c r="P185" s="56"/>
      <c r="Q185" s="56"/>
      <c r="R185" s="57"/>
      <c r="S185" s="79"/>
      <c r="T185" s="44"/>
      <c r="U185" s="62"/>
      <c r="V185" s="63"/>
      <c r="W185" s="63"/>
      <c r="X185" s="70" t="s">
        <v>176</v>
      </c>
    </row>
    <row r="186" spans="1:24" s="42" customFormat="1" ht="15.75" customHeight="1">
      <c r="A186" s="71"/>
      <c r="B186" s="56"/>
      <c r="C186" s="56"/>
      <c r="D186" s="56"/>
      <c r="E186" s="56"/>
      <c r="F186" s="56"/>
      <c r="G186" s="56"/>
      <c r="H186" s="56"/>
      <c r="I186" s="56"/>
      <c r="J186" s="56"/>
      <c r="K186" s="57"/>
      <c r="L186" s="125"/>
      <c r="M186" s="59"/>
      <c r="N186" s="56"/>
      <c r="O186" s="56"/>
      <c r="P186" s="56"/>
      <c r="Q186" s="56"/>
      <c r="R186" s="57"/>
      <c r="S186" s="79"/>
      <c r="T186" s="44"/>
      <c r="U186" s="62"/>
      <c r="V186" s="63"/>
      <c r="W186" s="63"/>
      <c r="X186" s="73" t="s">
        <v>177</v>
      </c>
    </row>
    <row r="187" spans="1:24" s="42" customFormat="1" ht="15.75" customHeight="1">
      <c r="A187" s="71"/>
      <c r="B187" s="56"/>
      <c r="C187" s="56"/>
      <c r="D187" s="56"/>
      <c r="E187" s="56"/>
      <c r="F187" s="56"/>
      <c r="G187" s="56"/>
      <c r="H187" s="56"/>
      <c r="I187" s="56"/>
      <c r="J187" s="56"/>
      <c r="K187" s="57"/>
      <c r="L187" s="125"/>
      <c r="M187" s="59"/>
      <c r="N187" s="56"/>
      <c r="O187" s="56"/>
      <c r="P187" s="56"/>
      <c r="Q187" s="56"/>
      <c r="R187" s="57"/>
      <c r="S187" s="79"/>
      <c r="T187" s="44"/>
      <c r="U187" s="62"/>
      <c r="V187" s="63"/>
      <c r="W187" s="63"/>
      <c r="X187" s="73"/>
    </row>
    <row r="188" spans="1:24" s="42" customFormat="1" ht="15.75" customHeight="1">
      <c r="A188" s="71"/>
      <c r="B188" s="56"/>
      <c r="C188" s="56"/>
      <c r="D188" s="56"/>
      <c r="E188" s="56"/>
      <c r="F188" s="56"/>
      <c r="G188" s="56"/>
      <c r="H188" s="56"/>
      <c r="I188" s="56"/>
      <c r="J188" s="56"/>
      <c r="K188" s="57"/>
      <c r="L188" s="125"/>
      <c r="M188" s="59"/>
      <c r="N188" s="56"/>
      <c r="O188" s="56"/>
      <c r="P188" s="56"/>
      <c r="Q188" s="56"/>
      <c r="R188" s="57"/>
      <c r="S188" s="79"/>
      <c r="T188" s="44"/>
      <c r="U188" s="62"/>
      <c r="V188" s="63"/>
      <c r="W188" s="63"/>
      <c r="X188" s="73"/>
    </row>
    <row r="189" spans="1:24" s="42" customFormat="1" ht="15.75" customHeight="1">
      <c r="A189" s="71" t="s">
        <v>185</v>
      </c>
      <c r="B189" s="66" t="s">
        <v>142</v>
      </c>
      <c r="C189" s="56">
        <v>3</v>
      </c>
      <c r="D189" s="56">
        <v>4</v>
      </c>
      <c r="E189" s="56">
        <v>4</v>
      </c>
      <c r="F189" s="67" t="s">
        <v>123</v>
      </c>
      <c r="G189" s="56">
        <v>4</v>
      </c>
      <c r="H189" s="56">
        <v>2</v>
      </c>
      <c r="I189" s="56">
        <v>2</v>
      </c>
      <c r="J189" s="67" t="s">
        <v>126</v>
      </c>
      <c r="K189" s="57">
        <v>9</v>
      </c>
      <c r="L189" s="125"/>
      <c r="M189" s="59"/>
      <c r="N189" s="56"/>
      <c r="O189" s="72">
        <v>1</v>
      </c>
      <c r="P189" s="66" t="s">
        <v>142</v>
      </c>
      <c r="Q189" s="72" t="s">
        <v>114</v>
      </c>
      <c r="R189" s="57" t="s">
        <v>142</v>
      </c>
      <c r="S189" s="60" t="str">
        <f>VLOOKUP(T189,RW,$Z$414,FALSE)</f>
        <v>4+</v>
      </c>
      <c r="T189" s="69">
        <f>VLOOKUP(Q189,Ruestung,$Z$406,FALSE)+IF(R189=1,1,0)</f>
        <v>3</v>
      </c>
      <c r="U189" s="62"/>
      <c r="V189" s="109" t="s">
        <v>142</v>
      </c>
      <c r="W189" s="112">
        <f>IF(B189="-",0,B189)*(70+IF(P189=1,6,0)+IF(V189="-",0,V189)+VLOOKUP(X195,Waffen,$AA$451,FALSE)+VLOOKUP(X197,Waffen,$AA$451,FALSE))</f>
        <v>0</v>
      </c>
      <c r="X189" s="70" t="s">
        <v>178</v>
      </c>
    </row>
    <row r="190" spans="1:31" s="42" customFormat="1" ht="15.75" customHeight="1">
      <c r="A190" s="71"/>
      <c r="B190" s="72"/>
      <c r="C190" s="56"/>
      <c r="D190" s="56"/>
      <c r="E190" s="56"/>
      <c r="F190" s="56"/>
      <c r="G190" s="56"/>
      <c r="H190" s="56"/>
      <c r="I190" s="56"/>
      <c r="J190" s="56"/>
      <c r="K190" s="57"/>
      <c r="L190" s="125"/>
      <c r="M190" s="59"/>
      <c r="N190" s="56"/>
      <c r="O190" s="72"/>
      <c r="P190" s="72"/>
      <c r="Q190" s="72"/>
      <c r="R190" s="57"/>
      <c r="S190" s="60"/>
      <c r="T190" s="164"/>
      <c r="U190" s="62"/>
      <c r="V190" s="112"/>
      <c r="W190" s="112"/>
      <c r="X190" s="70" t="s">
        <v>179</v>
      </c>
      <c r="AC190" s="165"/>
      <c r="AD190" s="166"/>
      <c r="AE190" s="165"/>
    </row>
    <row r="191" spans="1:31" s="42" customFormat="1" ht="15.75" customHeight="1">
      <c r="A191" s="71"/>
      <c r="B191" s="72"/>
      <c r="C191" s="56"/>
      <c r="D191" s="56"/>
      <c r="E191" s="56"/>
      <c r="F191" s="56"/>
      <c r="G191" s="56"/>
      <c r="H191" s="56"/>
      <c r="I191" s="56"/>
      <c r="J191" s="56"/>
      <c r="K191" s="57"/>
      <c r="L191" s="125"/>
      <c r="M191" s="59"/>
      <c r="N191" s="56"/>
      <c r="O191" s="72"/>
      <c r="P191" s="72"/>
      <c r="Q191" s="72"/>
      <c r="R191" s="57"/>
      <c r="S191" s="60"/>
      <c r="T191" s="164"/>
      <c r="U191" s="62"/>
      <c r="V191" s="112"/>
      <c r="W191" s="112"/>
      <c r="X191" s="73" t="s">
        <v>180</v>
      </c>
      <c r="AC191" s="165"/>
      <c r="AD191" s="166"/>
      <c r="AE191" s="165"/>
    </row>
    <row r="192" spans="1:31" s="42" customFormat="1" ht="15.75" customHeight="1">
      <c r="A192" s="71"/>
      <c r="B192" s="72"/>
      <c r="C192" s="56"/>
      <c r="D192" s="56"/>
      <c r="E192" s="56"/>
      <c r="F192" s="56"/>
      <c r="G192" s="56"/>
      <c r="H192" s="56"/>
      <c r="I192" s="56"/>
      <c r="J192" s="56"/>
      <c r="K192" s="57"/>
      <c r="L192" s="125"/>
      <c r="M192" s="59"/>
      <c r="N192" s="56"/>
      <c r="O192" s="72"/>
      <c r="P192" s="72"/>
      <c r="Q192" s="72"/>
      <c r="R192" s="57"/>
      <c r="S192" s="60"/>
      <c r="T192" s="164"/>
      <c r="U192" s="62"/>
      <c r="V192" s="112"/>
      <c r="W192" s="112"/>
      <c r="X192" s="73" t="s">
        <v>181</v>
      </c>
      <c r="AC192" s="165"/>
      <c r="AD192" s="166"/>
      <c r="AE192" s="165"/>
    </row>
    <row r="193" spans="1:31" s="42" customFormat="1" ht="15.75" customHeight="1">
      <c r="A193" s="71"/>
      <c r="B193" s="72"/>
      <c r="C193" s="56"/>
      <c r="D193" s="56"/>
      <c r="E193" s="56"/>
      <c r="F193" s="56"/>
      <c r="G193" s="56"/>
      <c r="H193" s="56"/>
      <c r="I193" s="56"/>
      <c r="J193" s="56"/>
      <c r="K193" s="57"/>
      <c r="L193" s="125"/>
      <c r="M193" s="59"/>
      <c r="N193" s="56"/>
      <c r="O193" s="72"/>
      <c r="P193" s="72"/>
      <c r="Q193" s="72"/>
      <c r="R193" s="57"/>
      <c r="S193" s="60"/>
      <c r="T193" s="164"/>
      <c r="U193" s="62"/>
      <c r="V193" s="112"/>
      <c r="W193" s="112"/>
      <c r="X193" s="73" t="s">
        <v>59</v>
      </c>
      <c r="AC193" s="165"/>
      <c r="AD193" s="166"/>
      <c r="AE193" s="165"/>
    </row>
    <row r="194" spans="1:31" s="42" customFormat="1" ht="15.75" customHeight="1">
      <c r="A194" s="71"/>
      <c r="B194" s="72"/>
      <c r="C194" s="56"/>
      <c r="D194" s="56"/>
      <c r="E194" s="56"/>
      <c r="F194" s="56"/>
      <c r="G194" s="56"/>
      <c r="H194" s="56"/>
      <c r="I194" s="56"/>
      <c r="J194" s="56"/>
      <c r="K194" s="57"/>
      <c r="L194" s="125"/>
      <c r="M194" s="59"/>
      <c r="N194" s="56"/>
      <c r="O194" s="72"/>
      <c r="P194" s="72"/>
      <c r="Q194" s="72"/>
      <c r="R194" s="57"/>
      <c r="S194" s="60"/>
      <c r="T194" s="164"/>
      <c r="U194" s="62"/>
      <c r="V194" s="112"/>
      <c r="W194" s="112"/>
      <c r="X194" s="73" t="s">
        <v>60</v>
      </c>
      <c r="AC194" s="165"/>
      <c r="AD194" s="166"/>
      <c r="AE194" s="165"/>
    </row>
    <row r="195" spans="1:31" s="42" customFormat="1" ht="15.75" customHeight="1">
      <c r="A195" s="71"/>
      <c r="B195" s="72"/>
      <c r="C195" s="56"/>
      <c r="D195" s="56"/>
      <c r="E195" s="56"/>
      <c r="F195" s="56"/>
      <c r="G195" s="56"/>
      <c r="H195" s="56"/>
      <c r="I195" s="56"/>
      <c r="J195" s="56"/>
      <c r="K195" s="57"/>
      <c r="L195" s="125"/>
      <c r="M195" s="59"/>
      <c r="N195" s="56"/>
      <c r="O195" s="72"/>
      <c r="P195" s="72"/>
      <c r="Q195" s="72"/>
      <c r="R195" s="57"/>
      <c r="S195" s="60"/>
      <c r="T195" s="164"/>
      <c r="U195" s="62"/>
      <c r="V195" s="112"/>
      <c r="W195" s="112"/>
      <c r="X195" s="80" t="s">
        <v>330</v>
      </c>
      <c r="AC195" s="165"/>
      <c r="AD195" s="166"/>
      <c r="AE195" s="165"/>
    </row>
    <row r="196" spans="1:31" s="42" customFormat="1" ht="15.75" customHeight="1">
      <c r="A196" s="71"/>
      <c r="B196" s="72"/>
      <c r="C196" s="56"/>
      <c r="D196" s="56"/>
      <c r="E196" s="56"/>
      <c r="F196" s="56"/>
      <c r="G196" s="56"/>
      <c r="H196" s="56"/>
      <c r="I196" s="56"/>
      <c r="J196" s="56"/>
      <c r="K196" s="57"/>
      <c r="L196" s="125"/>
      <c r="M196" s="59"/>
      <c r="N196" s="56"/>
      <c r="O196" s="72"/>
      <c r="P196" s="72"/>
      <c r="Q196" s="72"/>
      <c r="R196" s="57"/>
      <c r="S196" s="60"/>
      <c r="T196" s="164"/>
      <c r="U196" s="62"/>
      <c r="V196" s="112"/>
      <c r="W196" s="112"/>
      <c r="X196" s="80" t="str">
        <f>VLOOKUP(X195,Waffen,$Y$451,FALSE)</f>
        <v>-</v>
      </c>
      <c r="AC196" s="165"/>
      <c r="AD196" s="166"/>
      <c r="AE196" s="165"/>
    </row>
    <row r="197" spans="1:31" s="42" customFormat="1" ht="15.75" customHeight="1">
      <c r="A197" s="71"/>
      <c r="B197" s="72"/>
      <c r="C197" s="56"/>
      <c r="D197" s="56"/>
      <c r="E197" s="56"/>
      <c r="F197" s="56"/>
      <c r="G197" s="56"/>
      <c r="H197" s="56"/>
      <c r="I197" s="56"/>
      <c r="J197" s="56"/>
      <c r="K197" s="57"/>
      <c r="L197" s="125"/>
      <c r="M197" s="59"/>
      <c r="N197" s="56"/>
      <c r="O197" s="72"/>
      <c r="P197" s="72"/>
      <c r="Q197" s="72"/>
      <c r="R197" s="57"/>
      <c r="S197" s="60"/>
      <c r="T197" s="164"/>
      <c r="U197" s="62"/>
      <c r="V197" s="112"/>
      <c r="W197" s="112"/>
      <c r="X197" s="80" t="s">
        <v>330</v>
      </c>
      <c r="AC197" s="165"/>
      <c r="AD197" s="166"/>
      <c r="AE197" s="165"/>
    </row>
    <row r="198" spans="1:31" s="42" customFormat="1" ht="15.75" customHeight="1">
      <c r="A198" s="71"/>
      <c r="B198" s="72"/>
      <c r="C198" s="56"/>
      <c r="D198" s="56"/>
      <c r="E198" s="56"/>
      <c r="F198" s="56"/>
      <c r="G198" s="56"/>
      <c r="H198" s="56"/>
      <c r="I198" s="56"/>
      <c r="J198" s="56"/>
      <c r="K198" s="57"/>
      <c r="L198" s="125"/>
      <c r="M198" s="59"/>
      <c r="N198" s="56"/>
      <c r="O198" s="72"/>
      <c r="P198" s="72"/>
      <c r="Q198" s="72"/>
      <c r="R198" s="57"/>
      <c r="S198" s="60"/>
      <c r="T198" s="164"/>
      <c r="U198" s="62"/>
      <c r="V198" s="112"/>
      <c r="W198" s="112"/>
      <c r="X198" s="80" t="str">
        <f>VLOOKUP(X197,Waffen,$Y$451,FALSE)</f>
        <v>-</v>
      </c>
      <c r="AC198" s="165"/>
      <c r="AD198" s="166"/>
      <c r="AE198" s="165"/>
    </row>
    <row r="199" spans="1:31" s="42" customFormat="1" ht="15.75" customHeight="1">
      <c r="A199" s="71"/>
      <c r="B199" s="72"/>
      <c r="C199" s="56"/>
      <c r="D199" s="56"/>
      <c r="E199" s="56"/>
      <c r="F199" s="56"/>
      <c r="G199" s="56"/>
      <c r="H199" s="56"/>
      <c r="I199" s="56"/>
      <c r="J199" s="56"/>
      <c r="K199" s="57"/>
      <c r="L199" s="125"/>
      <c r="M199" s="59"/>
      <c r="N199" s="56"/>
      <c r="O199" s="72"/>
      <c r="P199" s="72"/>
      <c r="Q199" s="72"/>
      <c r="R199" s="57"/>
      <c r="S199" s="60"/>
      <c r="T199" s="164"/>
      <c r="U199" s="62"/>
      <c r="V199" s="112"/>
      <c r="W199" s="112"/>
      <c r="X199" s="80" t="str">
        <f>VLOOKUP(X197,Waffen,$Z$451,FALSE)</f>
        <v>-</v>
      </c>
      <c r="AC199" s="165"/>
      <c r="AD199" s="166"/>
      <c r="AE199" s="165"/>
    </row>
    <row r="200" spans="1:24" s="42" customFormat="1" ht="15.75" customHeight="1">
      <c r="A200" s="71"/>
      <c r="B200" s="56"/>
      <c r="C200" s="56"/>
      <c r="D200" s="56"/>
      <c r="E200" s="56"/>
      <c r="F200" s="56"/>
      <c r="G200" s="56"/>
      <c r="H200" s="56"/>
      <c r="I200" s="56"/>
      <c r="J200" s="56"/>
      <c r="K200" s="57"/>
      <c r="L200" s="125"/>
      <c r="M200" s="59"/>
      <c r="N200" s="56"/>
      <c r="O200" s="56"/>
      <c r="P200" s="56"/>
      <c r="Q200" s="56"/>
      <c r="R200" s="57"/>
      <c r="S200" s="60"/>
      <c r="T200" s="61"/>
      <c r="U200" s="62"/>
      <c r="V200" s="63"/>
      <c r="W200" s="63"/>
      <c r="X200" s="73"/>
    </row>
    <row r="201" spans="1:24" s="42" customFormat="1" ht="15.75" customHeight="1">
      <c r="A201" s="71"/>
      <c r="B201" s="56"/>
      <c r="C201" s="56"/>
      <c r="D201" s="56"/>
      <c r="E201" s="56"/>
      <c r="F201" s="56"/>
      <c r="G201" s="56"/>
      <c r="H201" s="56"/>
      <c r="I201" s="56"/>
      <c r="J201" s="56"/>
      <c r="K201" s="57"/>
      <c r="L201" s="125"/>
      <c r="M201" s="59"/>
      <c r="N201" s="56"/>
      <c r="O201" s="56"/>
      <c r="P201" s="56"/>
      <c r="Q201" s="56"/>
      <c r="R201" s="57"/>
      <c r="S201" s="60"/>
      <c r="T201" s="61"/>
      <c r="U201" s="62"/>
      <c r="V201" s="63"/>
      <c r="W201" s="63"/>
      <c r="X201" s="73"/>
    </row>
    <row r="202" spans="1:26" s="42" customFormat="1" ht="15.75" customHeight="1">
      <c r="A202" s="71" t="s">
        <v>115</v>
      </c>
      <c r="B202" s="66" t="s">
        <v>142</v>
      </c>
      <c r="C202" s="56">
        <v>3</v>
      </c>
      <c r="D202" s="56">
        <v>6</v>
      </c>
      <c r="E202" s="56">
        <v>3</v>
      </c>
      <c r="F202" s="67" t="s">
        <v>383</v>
      </c>
      <c r="G202" s="56">
        <v>5</v>
      </c>
      <c r="H202" s="56">
        <v>2</v>
      </c>
      <c r="I202" s="56">
        <v>4</v>
      </c>
      <c r="J202" s="67" t="s">
        <v>124</v>
      </c>
      <c r="K202" s="57">
        <v>10</v>
      </c>
      <c r="L202" s="125"/>
      <c r="M202" s="59"/>
      <c r="N202" s="56"/>
      <c r="O202" s="72">
        <v>2</v>
      </c>
      <c r="P202" s="72">
        <v>1</v>
      </c>
      <c r="Q202" s="56" t="s">
        <v>142</v>
      </c>
      <c r="R202" s="57" t="s">
        <v>142</v>
      </c>
      <c r="S202" s="60"/>
      <c r="T202" s="61"/>
      <c r="U202" s="62"/>
      <c r="V202" s="109" t="s">
        <v>142</v>
      </c>
      <c r="W202" s="112">
        <f>IF(B202="-",0,B202)*(70+IF(V202="-",0,V202))</f>
        <v>0</v>
      </c>
      <c r="X202" s="70" t="s">
        <v>61</v>
      </c>
      <c r="Y202" s="113"/>
      <c r="Z202" s="114"/>
    </row>
    <row r="203" spans="1:24" s="42" customFormat="1" ht="15.75" customHeight="1">
      <c r="A203" s="71"/>
      <c r="B203" s="72"/>
      <c r="C203" s="56"/>
      <c r="D203" s="56"/>
      <c r="E203" s="56"/>
      <c r="F203" s="56"/>
      <c r="G203" s="56"/>
      <c r="H203" s="56"/>
      <c r="I203" s="56"/>
      <c r="J203" s="56"/>
      <c r="K203" s="57"/>
      <c r="L203" s="125"/>
      <c r="M203" s="59"/>
      <c r="N203" s="56"/>
      <c r="O203" s="72"/>
      <c r="P203" s="72"/>
      <c r="Q203" s="72"/>
      <c r="R203" s="167"/>
      <c r="S203" s="60"/>
      <c r="T203" s="69"/>
      <c r="U203" s="62"/>
      <c r="V203" s="112"/>
      <c r="W203" s="63"/>
      <c r="X203" s="74" t="s">
        <v>67</v>
      </c>
    </row>
    <row r="204" spans="1:24" s="42" customFormat="1" ht="15.75" customHeight="1">
      <c r="A204" s="71"/>
      <c r="B204" s="72"/>
      <c r="C204" s="56"/>
      <c r="D204" s="56"/>
      <c r="E204" s="56"/>
      <c r="F204" s="56"/>
      <c r="G204" s="56"/>
      <c r="H204" s="56"/>
      <c r="I204" s="56"/>
      <c r="J204" s="56"/>
      <c r="K204" s="57"/>
      <c r="L204" s="125"/>
      <c r="M204" s="59"/>
      <c r="N204" s="56"/>
      <c r="O204" s="72"/>
      <c r="P204" s="72"/>
      <c r="Q204" s="72"/>
      <c r="R204" s="167"/>
      <c r="S204" s="60"/>
      <c r="T204" s="69"/>
      <c r="U204" s="62"/>
      <c r="V204" s="112"/>
      <c r="W204" s="63"/>
      <c r="X204" s="74" t="s">
        <v>388</v>
      </c>
    </row>
    <row r="205" spans="1:24" s="42" customFormat="1" ht="15.75" customHeight="1">
      <c r="A205" s="71"/>
      <c r="B205" s="72"/>
      <c r="C205" s="56"/>
      <c r="D205" s="56"/>
      <c r="E205" s="56"/>
      <c r="F205" s="56"/>
      <c r="G205" s="56"/>
      <c r="H205" s="56"/>
      <c r="I205" s="56"/>
      <c r="J205" s="56"/>
      <c r="K205" s="57"/>
      <c r="L205" s="125"/>
      <c r="M205" s="59"/>
      <c r="N205" s="56"/>
      <c r="O205" s="72"/>
      <c r="P205" s="72"/>
      <c r="Q205" s="72"/>
      <c r="R205" s="167"/>
      <c r="S205" s="60"/>
      <c r="T205" s="69"/>
      <c r="U205" s="62"/>
      <c r="V205" s="112"/>
      <c r="W205" s="63"/>
      <c r="X205" s="73" t="s">
        <v>62</v>
      </c>
    </row>
    <row r="206" spans="1:24" s="42" customFormat="1" ht="15.75" customHeight="1">
      <c r="A206" s="71"/>
      <c r="B206" s="72"/>
      <c r="C206" s="56"/>
      <c r="D206" s="56"/>
      <c r="E206" s="56"/>
      <c r="F206" s="56"/>
      <c r="G206" s="56"/>
      <c r="H206" s="56"/>
      <c r="I206" s="56"/>
      <c r="J206" s="56"/>
      <c r="K206" s="57"/>
      <c r="L206" s="125"/>
      <c r="M206" s="59"/>
      <c r="N206" s="56"/>
      <c r="O206" s="72"/>
      <c r="P206" s="72"/>
      <c r="Q206" s="72"/>
      <c r="R206" s="167"/>
      <c r="S206" s="60"/>
      <c r="T206" s="69"/>
      <c r="U206" s="62"/>
      <c r="V206" s="112"/>
      <c r="W206" s="63"/>
      <c r="X206" s="73" t="s">
        <v>63</v>
      </c>
    </row>
    <row r="207" spans="1:24" s="42" customFormat="1" ht="15.75" customHeight="1">
      <c r="A207" s="71"/>
      <c r="B207" s="72"/>
      <c r="C207" s="56"/>
      <c r="D207" s="56"/>
      <c r="E207" s="56"/>
      <c r="F207" s="56"/>
      <c r="G207" s="56"/>
      <c r="H207" s="56"/>
      <c r="I207" s="56"/>
      <c r="J207" s="56"/>
      <c r="K207" s="57"/>
      <c r="L207" s="125"/>
      <c r="M207" s="59"/>
      <c r="N207" s="56"/>
      <c r="O207" s="72"/>
      <c r="P207" s="72"/>
      <c r="Q207" s="72"/>
      <c r="R207" s="167"/>
      <c r="S207" s="60"/>
      <c r="T207" s="69"/>
      <c r="U207" s="62"/>
      <c r="V207" s="112"/>
      <c r="W207" s="63"/>
      <c r="X207" s="75" t="s">
        <v>65</v>
      </c>
    </row>
    <row r="208" spans="1:24" s="42" customFormat="1" ht="15.75" customHeight="1">
      <c r="A208" s="71"/>
      <c r="B208" s="72"/>
      <c r="C208" s="56"/>
      <c r="D208" s="56"/>
      <c r="E208" s="56"/>
      <c r="F208" s="56"/>
      <c r="G208" s="56"/>
      <c r="H208" s="56"/>
      <c r="I208" s="56"/>
      <c r="J208" s="56"/>
      <c r="K208" s="57"/>
      <c r="L208" s="125"/>
      <c r="M208" s="59"/>
      <c r="N208" s="56"/>
      <c r="O208" s="72"/>
      <c r="P208" s="72"/>
      <c r="Q208" s="72"/>
      <c r="R208" s="167"/>
      <c r="S208" s="60"/>
      <c r="T208" s="69"/>
      <c r="U208" s="62"/>
      <c r="V208" s="112"/>
      <c r="W208" s="63"/>
      <c r="X208" s="73" t="s">
        <v>66</v>
      </c>
    </row>
    <row r="209" spans="1:24" s="42" customFormat="1" ht="15.75" customHeight="1">
      <c r="A209" s="71"/>
      <c r="B209" s="72"/>
      <c r="C209" s="56"/>
      <c r="D209" s="56"/>
      <c r="E209" s="56"/>
      <c r="F209" s="56"/>
      <c r="G209" s="56"/>
      <c r="H209" s="56"/>
      <c r="I209" s="56"/>
      <c r="J209" s="56"/>
      <c r="K209" s="57"/>
      <c r="L209" s="125"/>
      <c r="M209" s="59"/>
      <c r="N209" s="56"/>
      <c r="O209" s="72"/>
      <c r="P209" s="72"/>
      <c r="Q209" s="72"/>
      <c r="R209" s="167"/>
      <c r="S209" s="60"/>
      <c r="T209" s="69"/>
      <c r="U209" s="62"/>
      <c r="V209" s="112"/>
      <c r="W209" s="63"/>
      <c r="X209" s="73"/>
    </row>
    <row r="210" spans="1:24" s="42" customFormat="1" ht="15.75" customHeight="1">
      <c r="A210" s="71"/>
      <c r="B210" s="56"/>
      <c r="C210" s="56"/>
      <c r="D210" s="56"/>
      <c r="E210" s="56"/>
      <c r="F210" s="56"/>
      <c r="G210" s="56"/>
      <c r="H210" s="56"/>
      <c r="I210" s="56"/>
      <c r="J210" s="56"/>
      <c r="K210" s="62"/>
      <c r="L210" s="125"/>
      <c r="M210" s="60"/>
      <c r="N210" s="56"/>
      <c r="O210" s="56"/>
      <c r="P210" s="56"/>
      <c r="Q210" s="56"/>
      <c r="R210" s="62"/>
      <c r="S210" s="60"/>
      <c r="T210" s="56"/>
      <c r="U210" s="62"/>
      <c r="V210" s="112"/>
      <c r="W210" s="63"/>
      <c r="X210" s="70"/>
    </row>
    <row r="211" spans="1:27" s="42" customFormat="1" ht="24.75" customHeight="1">
      <c r="A211" s="156" t="s">
        <v>413</v>
      </c>
      <c r="B211" s="83" t="s">
        <v>147</v>
      </c>
      <c r="C211" s="84" t="s">
        <v>145</v>
      </c>
      <c r="D211" s="84" t="s">
        <v>253</v>
      </c>
      <c r="E211" s="84" t="s">
        <v>206</v>
      </c>
      <c r="F211" s="84" t="s">
        <v>318</v>
      </c>
      <c r="G211" s="84" t="s">
        <v>146</v>
      </c>
      <c r="H211" s="84" t="s">
        <v>207</v>
      </c>
      <c r="I211" s="84" t="s">
        <v>208</v>
      </c>
      <c r="J211" s="84" t="s">
        <v>209</v>
      </c>
      <c r="K211" s="84" t="s">
        <v>210</v>
      </c>
      <c r="L211" s="157"/>
      <c r="M211" s="84" t="s">
        <v>139</v>
      </c>
      <c r="N211" s="84" t="s">
        <v>140</v>
      </c>
      <c r="O211" s="84" t="s">
        <v>311</v>
      </c>
      <c r="P211" s="84" t="s">
        <v>312</v>
      </c>
      <c r="Q211" s="84" t="s">
        <v>103</v>
      </c>
      <c r="R211" s="84" t="s">
        <v>105</v>
      </c>
      <c r="S211" s="86" t="s">
        <v>343</v>
      </c>
      <c r="T211" s="84"/>
      <c r="U211" s="88" t="s">
        <v>104</v>
      </c>
      <c r="V211" s="89" t="s">
        <v>187</v>
      </c>
      <c r="W211" s="90" t="s">
        <v>322</v>
      </c>
      <c r="X211" s="168" t="s">
        <v>410</v>
      </c>
      <c r="Z211" s="93">
        <f>SUM(W212:W235)</f>
        <v>0</v>
      </c>
      <c r="AA211" s="93" t="s">
        <v>131</v>
      </c>
    </row>
    <row r="212" spans="1:27" s="42" customFormat="1" ht="15" customHeight="1">
      <c r="A212" s="169"/>
      <c r="B212" s="170"/>
      <c r="C212" s="171"/>
      <c r="D212" s="171"/>
      <c r="E212" s="171"/>
      <c r="F212" s="171"/>
      <c r="G212" s="171"/>
      <c r="H212" s="171"/>
      <c r="I212" s="171"/>
      <c r="J212" s="171"/>
      <c r="K212" s="172"/>
      <c r="L212" s="173"/>
      <c r="M212" s="174"/>
      <c r="N212" s="171"/>
      <c r="O212" s="171"/>
      <c r="P212" s="171"/>
      <c r="Q212" s="171"/>
      <c r="R212" s="175"/>
      <c r="S212" s="79"/>
      <c r="T212" s="176"/>
      <c r="U212" s="177"/>
      <c r="V212" s="178"/>
      <c r="W212" s="179"/>
      <c r="X212" s="180"/>
      <c r="Z212" s="93"/>
      <c r="AA212" s="93"/>
    </row>
    <row r="213" spans="1:27" s="42" customFormat="1" ht="15" customHeight="1">
      <c r="A213" s="71"/>
      <c r="B213" s="72"/>
      <c r="C213" s="56"/>
      <c r="D213" s="56"/>
      <c r="E213" s="56"/>
      <c r="F213" s="56"/>
      <c r="G213" s="56"/>
      <c r="H213" s="56"/>
      <c r="I213" s="56"/>
      <c r="J213" s="56"/>
      <c r="K213" s="57"/>
      <c r="L213" s="125"/>
      <c r="M213" s="59"/>
      <c r="N213" s="56"/>
      <c r="O213" s="56"/>
      <c r="P213" s="56"/>
      <c r="Q213" s="56"/>
      <c r="R213" s="167"/>
      <c r="S213" s="79"/>
      <c r="T213" s="176"/>
      <c r="U213" s="62"/>
      <c r="V213" s="63"/>
      <c r="W213" s="112"/>
      <c r="X213" s="73"/>
      <c r="Z213" s="93"/>
      <c r="AA213" s="93"/>
    </row>
    <row r="214" spans="1:27" s="42" customFormat="1" ht="15.75" customHeight="1">
      <c r="A214" s="71" t="s">
        <v>116</v>
      </c>
      <c r="B214" s="66" t="s">
        <v>142</v>
      </c>
      <c r="C214" s="56">
        <v>3</v>
      </c>
      <c r="D214" s="56">
        <v>4</v>
      </c>
      <c r="E214" s="56">
        <v>3</v>
      </c>
      <c r="F214" s="67" t="s">
        <v>124</v>
      </c>
      <c r="G214" s="56">
        <v>4</v>
      </c>
      <c r="H214" s="56">
        <v>1</v>
      </c>
      <c r="I214" s="56">
        <v>2</v>
      </c>
      <c r="J214" s="56">
        <v>1</v>
      </c>
      <c r="K214" s="57">
        <v>9</v>
      </c>
      <c r="L214" s="125"/>
      <c r="M214" s="181" t="s">
        <v>142</v>
      </c>
      <c r="N214" s="66" t="s">
        <v>142</v>
      </c>
      <c r="O214" s="56">
        <v>1</v>
      </c>
      <c r="P214" s="66" t="s">
        <v>142</v>
      </c>
      <c r="Q214" s="72" t="s">
        <v>318</v>
      </c>
      <c r="R214" s="108" t="s">
        <v>142</v>
      </c>
      <c r="S214" s="60" t="str">
        <f>VLOOKUP(T214,RW,$Z$414,FALSE)</f>
        <v>5+</v>
      </c>
      <c r="T214" s="69">
        <f>VLOOKUP(Q214,Ruestung,$Z$406,FALSE)+IF(R214=1,1,0)</f>
        <v>2</v>
      </c>
      <c r="U214" s="62"/>
      <c r="V214" s="63"/>
      <c r="W214" s="63">
        <f>(IF(B214="-",0,B214)*(8+IF(R214=1,1,0)+IF(P214=1,2,0)))+IF(M214="-",0,M214*10)+IF(N214="-",0,N214*10)</f>
        <v>0</v>
      </c>
      <c r="X214" s="70" t="s">
        <v>258</v>
      </c>
      <c r="Z214" s="93"/>
      <c r="AA214" s="93"/>
    </row>
    <row r="215" spans="1:24" s="42" customFormat="1" ht="15.75" customHeight="1">
      <c r="A215" s="71" t="s">
        <v>217</v>
      </c>
      <c r="B215" s="66" t="s">
        <v>142</v>
      </c>
      <c r="C215" s="56">
        <v>3</v>
      </c>
      <c r="D215" s="56">
        <v>4</v>
      </c>
      <c r="E215" s="56">
        <v>3</v>
      </c>
      <c r="F215" s="67" t="s">
        <v>124</v>
      </c>
      <c r="G215" s="56">
        <v>4</v>
      </c>
      <c r="H215" s="56">
        <v>1</v>
      </c>
      <c r="I215" s="56">
        <v>2</v>
      </c>
      <c r="J215" s="56">
        <v>2</v>
      </c>
      <c r="K215" s="57">
        <v>9</v>
      </c>
      <c r="L215" s="125"/>
      <c r="M215" s="59"/>
      <c r="N215" s="56"/>
      <c r="O215" s="56">
        <v>1</v>
      </c>
      <c r="P215" s="72" t="str">
        <f>P214</f>
        <v>-</v>
      </c>
      <c r="Q215" s="72" t="str">
        <f>Q214</f>
        <v>S</v>
      </c>
      <c r="R215" s="72" t="str">
        <f>R214</f>
        <v>-</v>
      </c>
      <c r="S215" s="60" t="str">
        <f>VLOOKUP(T215,RW,$Z$414,FALSE)</f>
        <v>5+</v>
      </c>
      <c r="T215" s="69">
        <f>VLOOKUP(Q215,Ruestung,$Z$406,FALSE)+IF(R215=1,1,0)</f>
        <v>2</v>
      </c>
      <c r="U215" s="62"/>
      <c r="V215" s="63"/>
      <c r="W215" s="63">
        <f>IF(B215="-",0,B215)*(18+IF(R215=1,1,0)+IF(P215=1,2,0))</f>
        <v>0</v>
      </c>
      <c r="X215" s="73"/>
    </row>
    <row r="216" spans="1:24" s="42" customFormat="1" ht="15.75" customHeight="1">
      <c r="A216" s="182"/>
      <c r="B216" s="56"/>
      <c r="C216" s="56"/>
      <c r="D216" s="56"/>
      <c r="E216" s="56"/>
      <c r="F216" s="56"/>
      <c r="G216" s="56"/>
      <c r="H216" s="56"/>
      <c r="I216" s="56"/>
      <c r="J216" s="56"/>
      <c r="K216" s="57"/>
      <c r="L216" s="125"/>
      <c r="M216" s="59"/>
      <c r="N216" s="56"/>
      <c r="O216" s="56"/>
      <c r="P216" s="56"/>
      <c r="Q216" s="56"/>
      <c r="R216" s="57"/>
      <c r="S216" s="79"/>
      <c r="T216" s="176"/>
      <c r="U216" s="62"/>
      <c r="V216" s="63"/>
      <c r="W216" s="63"/>
      <c r="X216" s="73"/>
    </row>
    <row r="217" spans="1:24" s="42" customFormat="1" ht="15.75" customHeight="1">
      <c r="A217" s="182"/>
      <c r="B217" s="56"/>
      <c r="C217" s="56"/>
      <c r="D217" s="56"/>
      <c r="E217" s="56"/>
      <c r="F217" s="56"/>
      <c r="G217" s="56"/>
      <c r="H217" s="56"/>
      <c r="I217" s="56"/>
      <c r="J217" s="56"/>
      <c r="K217" s="57"/>
      <c r="L217" s="125"/>
      <c r="M217" s="59"/>
      <c r="N217" s="56"/>
      <c r="O217" s="56"/>
      <c r="P217" s="56"/>
      <c r="Q217" s="56"/>
      <c r="R217" s="57"/>
      <c r="S217" s="79"/>
      <c r="T217" s="176"/>
      <c r="U217" s="62"/>
      <c r="V217" s="63"/>
      <c r="W217" s="63"/>
      <c r="X217" s="73"/>
    </row>
    <row r="218" spans="1:24" s="42" customFormat="1" ht="15.75" customHeight="1">
      <c r="A218" s="71" t="s">
        <v>310</v>
      </c>
      <c r="B218" s="66" t="s">
        <v>142</v>
      </c>
      <c r="C218" s="56">
        <v>3</v>
      </c>
      <c r="D218" s="56">
        <v>5</v>
      </c>
      <c r="E218" s="56">
        <v>3</v>
      </c>
      <c r="F218" s="67" t="s">
        <v>325</v>
      </c>
      <c r="G218" s="56">
        <v>4</v>
      </c>
      <c r="H218" s="56">
        <v>1</v>
      </c>
      <c r="I218" s="56">
        <v>2</v>
      </c>
      <c r="J218" s="56">
        <v>1</v>
      </c>
      <c r="K218" s="57">
        <v>9</v>
      </c>
      <c r="L218" s="125"/>
      <c r="M218" s="181" t="s">
        <v>142</v>
      </c>
      <c r="N218" s="66" t="s">
        <v>142</v>
      </c>
      <c r="O218" s="56">
        <v>1</v>
      </c>
      <c r="P218" s="66" t="s">
        <v>142</v>
      </c>
      <c r="Q218" s="56" t="s">
        <v>318</v>
      </c>
      <c r="R218" s="108" t="s">
        <v>142</v>
      </c>
      <c r="S218" s="60" t="str">
        <f>VLOOKUP(T218,RW,$Z$414,FALSE)</f>
        <v>5+</v>
      </c>
      <c r="T218" s="69">
        <f>VLOOKUP(Q218,Ruestung,$Z$406,FALSE)+IF(R218=1,1,0)</f>
        <v>2</v>
      </c>
      <c r="U218" s="62"/>
      <c r="V218" s="109" t="s">
        <v>142</v>
      </c>
      <c r="W218" s="63">
        <f>(IF(B218="-",0,B218)*(12+IF(R218=1,1,0)+IF(P218=1,2,0)))+IF(M218="-",0,M218*10)+IF(N218="-",0,N218*10)+IF(V218="-",0,V218)</f>
        <v>0</v>
      </c>
      <c r="X218" s="70" t="s">
        <v>258</v>
      </c>
    </row>
    <row r="219" spans="1:24" s="42" customFormat="1" ht="15.75" customHeight="1">
      <c r="A219" s="71" t="s">
        <v>283</v>
      </c>
      <c r="B219" s="66" t="s">
        <v>142</v>
      </c>
      <c r="C219" s="56">
        <v>3</v>
      </c>
      <c r="D219" s="56">
        <v>5</v>
      </c>
      <c r="E219" s="56">
        <v>3</v>
      </c>
      <c r="F219" s="67" t="s">
        <v>325</v>
      </c>
      <c r="G219" s="56">
        <v>4</v>
      </c>
      <c r="H219" s="56">
        <v>1</v>
      </c>
      <c r="I219" s="56">
        <v>2</v>
      </c>
      <c r="J219" s="56">
        <v>2</v>
      </c>
      <c r="K219" s="57">
        <v>9</v>
      </c>
      <c r="L219" s="125"/>
      <c r="M219" s="59"/>
      <c r="N219" s="56"/>
      <c r="O219" s="56">
        <v>1</v>
      </c>
      <c r="P219" s="56" t="str">
        <f>P218</f>
        <v>-</v>
      </c>
      <c r="Q219" s="56" t="s">
        <v>318</v>
      </c>
      <c r="R219" s="57" t="str">
        <f>R218</f>
        <v>-</v>
      </c>
      <c r="S219" s="60" t="str">
        <f>VLOOKUP(T219,RW,$Z$414,FALSE)</f>
        <v>5+</v>
      </c>
      <c r="T219" s="69">
        <f>VLOOKUP(Q219,Ruestung,$Z$406,FALSE)+IF(R219=1,1,0)</f>
        <v>2</v>
      </c>
      <c r="U219" s="62"/>
      <c r="V219" s="63"/>
      <c r="W219" s="63">
        <f>IF(B219="-",0,B219)*(22+IF(R219=1,1,0)+IF(P219=1,2,0))</f>
        <v>0</v>
      </c>
      <c r="X219" s="70" t="s">
        <v>76</v>
      </c>
    </row>
    <row r="220" spans="1:24" s="42" customFormat="1" ht="15.75" customHeight="1">
      <c r="A220" s="71"/>
      <c r="B220" s="72"/>
      <c r="C220" s="56"/>
      <c r="D220" s="56"/>
      <c r="E220" s="56"/>
      <c r="F220" s="56"/>
      <c r="G220" s="56"/>
      <c r="H220" s="56"/>
      <c r="I220" s="56"/>
      <c r="J220" s="56"/>
      <c r="K220" s="57"/>
      <c r="L220" s="125"/>
      <c r="M220" s="59"/>
      <c r="N220" s="56"/>
      <c r="O220" s="56"/>
      <c r="P220" s="56"/>
      <c r="Q220" s="56"/>
      <c r="R220" s="167"/>
      <c r="S220" s="79"/>
      <c r="T220" s="176"/>
      <c r="U220" s="62"/>
      <c r="V220" s="63"/>
      <c r="W220" s="112"/>
      <c r="X220" s="73" t="s">
        <v>77</v>
      </c>
    </row>
    <row r="221" spans="1:24" s="42" customFormat="1" ht="15.75" customHeight="1">
      <c r="A221" s="71"/>
      <c r="B221" s="72"/>
      <c r="C221" s="56"/>
      <c r="D221" s="56"/>
      <c r="E221" s="56"/>
      <c r="F221" s="56"/>
      <c r="G221" s="56"/>
      <c r="H221" s="56"/>
      <c r="I221" s="56"/>
      <c r="J221" s="56"/>
      <c r="K221" s="57"/>
      <c r="L221" s="125"/>
      <c r="M221" s="59"/>
      <c r="N221" s="56"/>
      <c r="O221" s="56"/>
      <c r="P221" s="56"/>
      <c r="Q221" s="56"/>
      <c r="R221" s="167"/>
      <c r="S221" s="79"/>
      <c r="T221" s="176"/>
      <c r="U221" s="62"/>
      <c r="V221" s="63"/>
      <c r="W221" s="112"/>
      <c r="X221" s="73"/>
    </row>
    <row r="222" spans="1:24" s="42" customFormat="1" ht="15.75" customHeight="1">
      <c r="A222" s="71"/>
      <c r="B222" s="72"/>
      <c r="C222" s="56"/>
      <c r="D222" s="56"/>
      <c r="E222" s="56"/>
      <c r="F222" s="56"/>
      <c r="G222" s="56"/>
      <c r="H222" s="56"/>
      <c r="I222" s="56"/>
      <c r="J222" s="56"/>
      <c r="K222" s="57"/>
      <c r="L222" s="125"/>
      <c r="M222" s="59"/>
      <c r="N222" s="56"/>
      <c r="O222" s="56"/>
      <c r="P222" s="56"/>
      <c r="Q222" s="56"/>
      <c r="R222" s="167"/>
      <c r="S222" s="79"/>
      <c r="T222" s="176"/>
      <c r="U222" s="62"/>
      <c r="V222" s="63"/>
      <c r="W222" s="112"/>
      <c r="X222" s="73"/>
    </row>
    <row r="223" spans="1:24" s="42" customFormat="1" ht="15.75" customHeight="1">
      <c r="A223" s="55" t="s">
        <v>196</v>
      </c>
      <c r="B223" s="66" t="s">
        <v>142</v>
      </c>
      <c r="C223" s="56">
        <v>3</v>
      </c>
      <c r="D223" s="56">
        <v>4</v>
      </c>
      <c r="E223" s="56">
        <v>3</v>
      </c>
      <c r="F223" s="67" t="s">
        <v>124</v>
      </c>
      <c r="G223" s="56">
        <v>4</v>
      </c>
      <c r="H223" s="56">
        <v>1</v>
      </c>
      <c r="I223" s="56">
        <v>2</v>
      </c>
      <c r="J223" s="56">
        <v>1</v>
      </c>
      <c r="K223" s="57">
        <v>9</v>
      </c>
      <c r="L223" s="125"/>
      <c r="M223" s="181" t="s">
        <v>142</v>
      </c>
      <c r="N223" s="66" t="s">
        <v>142</v>
      </c>
      <c r="O223" s="56">
        <v>1</v>
      </c>
      <c r="P223" s="66" t="s">
        <v>142</v>
      </c>
      <c r="Q223" s="56" t="s">
        <v>318</v>
      </c>
      <c r="R223" s="108" t="s">
        <v>142</v>
      </c>
      <c r="S223" s="60" t="str">
        <f>VLOOKUP(T223,RW,$Z$414,FALSE)</f>
        <v>5+</v>
      </c>
      <c r="T223" s="69">
        <f>VLOOKUP(Q223,Ruestung,$Z$406,FALSE)+IF(R223=1,1,0)</f>
        <v>2</v>
      </c>
      <c r="U223" s="62"/>
      <c r="V223" s="63"/>
      <c r="W223" s="63">
        <f>(IF(B223="-",0,B223)*(12+IF(R223=1,1,0)+IF(P223=1,2,0)))+IF(M223="-",0,M223*10)+IF(N223="-",0,N223*10)</f>
        <v>0</v>
      </c>
      <c r="X223" s="70" t="s">
        <v>258</v>
      </c>
    </row>
    <row r="224" spans="1:24" s="42" customFormat="1" ht="15.75" customHeight="1">
      <c r="A224" s="71" t="s">
        <v>217</v>
      </c>
      <c r="B224" s="66" t="s">
        <v>142</v>
      </c>
      <c r="C224" s="56">
        <v>3</v>
      </c>
      <c r="D224" s="56">
        <v>4</v>
      </c>
      <c r="E224" s="56">
        <v>3</v>
      </c>
      <c r="F224" s="67" t="s">
        <v>124</v>
      </c>
      <c r="G224" s="56">
        <v>4</v>
      </c>
      <c r="H224" s="56">
        <v>1</v>
      </c>
      <c r="I224" s="56">
        <v>2</v>
      </c>
      <c r="J224" s="56">
        <v>2</v>
      </c>
      <c r="K224" s="57">
        <v>9</v>
      </c>
      <c r="L224" s="125"/>
      <c r="M224" s="59"/>
      <c r="N224" s="56"/>
      <c r="O224" s="56">
        <v>1</v>
      </c>
      <c r="P224" s="72" t="str">
        <f>P223</f>
        <v>-</v>
      </c>
      <c r="Q224" s="56" t="s">
        <v>318</v>
      </c>
      <c r="R224" s="167" t="str">
        <f>R223</f>
        <v>-</v>
      </c>
      <c r="S224" s="60" t="str">
        <f>VLOOKUP(T224,RW,$Z$414,FALSE)</f>
        <v>5+</v>
      </c>
      <c r="T224" s="69">
        <f>VLOOKUP(Q224,Ruestung,$Z$406,FALSE)+IF(R224=1,1,0)</f>
        <v>2</v>
      </c>
      <c r="U224" s="62"/>
      <c r="V224" s="63"/>
      <c r="W224" s="63">
        <f>IF(B224="-",0,B224)*(22+IF(R224=1,1,0)+IF(P224=1,2,0))</f>
        <v>0</v>
      </c>
      <c r="X224" s="70" t="s">
        <v>257</v>
      </c>
    </row>
    <row r="225" spans="1:24" s="42" customFormat="1" ht="15.75" customHeight="1">
      <c r="A225" s="71"/>
      <c r="B225" s="56"/>
      <c r="C225" s="56"/>
      <c r="D225" s="56"/>
      <c r="E225" s="56"/>
      <c r="F225" s="56"/>
      <c r="G225" s="56"/>
      <c r="H225" s="56"/>
      <c r="I225" s="56"/>
      <c r="J225" s="56"/>
      <c r="K225" s="57"/>
      <c r="L225" s="125"/>
      <c r="M225" s="59"/>
      <c r="N225" s="56"/>
      <c r="O225" s="56"/>
      <c r="P225" s="72"/>
      <c r="Q225" s="56"/>
      <c r="R225" s="167"/>
      <c r="S225" s="79"/>
      <c r="T225" s="176"/>
      <c r="U225" s="62"/>
      <c r="V225" s="63"/>
      <c r="W225" s="63"/>
      <c r="X225" s="77" t="s">
        <v>327</v>
      </c>
    </row>
    <row r="226" spans="1:24" s="42" customFormat="1" ht="15.75" customHeight="1">
      <c r="A226" s="55"/>
      <c r="B226" s="56"/>
      <c r="C226" s="56"/>
      <c r="D226" s="56"/>
      <c r="E226" s="56"/>
      <c r="F226" s="56"/>
      <c r="G226" s="56"/>
      <c r="H226" s="56"/>
      <c r="I226" s="56"/>
      <c r="J226" s="56"/>
      <c r="K226" s="57"/>
      <c r="L226" s="125"/>
      <c r="M226" s="59"/>
      <c r="N226" s="56"/>
      <c r="O226" s="56"/>
      <c r="P226" s="56"/>
      <c r="Q226" s="56"/>
      <c r="R226" s="57"/>
      <c r="S226" s="79"/>
      <c r="T226" s="176"/>
      <c r="U226" s="62"/>
      <c r="V226" s="63"/>
      <c r="W226" s="63"/>
      <c r="X226" s="77"/>
    </row>
    <row r="227" spans="1:24" s="42" customFormat="1" ht="15.75" customHeight="1">
      <c r="A227" s="55"/>
      <c r="B227" s="56"/>
      <c r="C227" s="56"/>
      <c r="D227" s="56"/>
      <c r="E227" s="56"/>
      <c r="F227" s="56"/>
      <c r="G227" s="56"/>
      <c r="H227" s="56"/>
      <c r="I227" s="56"/>
      <c r="J227" s="56"/>
      <c r="K227" s="57"/>
      <c r="L227" s="125"/>
      <c r="M227" s="59"/>
      <c r="N227" s="56"/>
      <c r="O227" s="56"/>
      <c r="P227" s="56"/>
      <c r="Q227" s="56"/>
      <c r="R227" s="57"/>
      <c r="S227" s="79"/>
      <c r="T227" s="176"/>
      <c r="U227" s="62"/>
      <c r="V227" s="63"/>
      <c r="W227" s="63"/>
      <c r="X227" s="77"/>
    </row>
    <row r="228" spans="1:24" s="42" customFormat="1" ht="15.75" customHeight="1">
      <c r="A228" s="65" t="s">
        <v>218</v>
      </c>
      <c r="B228" s="66" t="s">
        <v>142</v>
      </c>
      <c r="C228" s="56">
        <v>3</v>
      </c>
      <c r="D228" s="56">
        <v>4</v>
      </c>
      <c r="E228" s="56">
        <v>3</v>
      </c>
      <c r="F228" s="67" t="s">
        <v>124</v>
      </c>
      <c r="G228" s="56">
        <v>4</v>
      </c>
      <c r="H228" s="56">
        <v>1</v>
      </c>
      <c r="I228" s="56">
        <v>2</v>
      </c>
      <c r="J228" s="56">
        <v>1</v>
      </c>
      <c r="K228" s="57">
        <v>9</v>
      </c>
      <c r="L228" s="125"/>
      <c r="M228" s="181" t="s">
        <v>142</v>
      </c>
      <c r="N228" s="66" t="s">
        <v>142</v>
      </c>
      <c r="O228" s="56">
        <v>1</v>
      </c>
      <c r="P228" s="56" t="s">
        <v>142</v>
      </c>
      <c r="Q228" s="56" t="s">
        <v>318</v>
      </c>
      <c r="R228" s="108" t="s">
        <v>142</v>
      </c>
      <c r="S228" s="60" t="str">
        <f>VLOOKUP(T228,RW,$Z$414,FALSE)</f>
        <v>5+</v>
      </c>
      <c r="T228" s="69">
        <f>VLOOKUP(Q228,Ruestung,$Z$406,FALSE)+IF(R228=1,1,0)</f>
        <v>2</v>
      </c>
      <c r="U228" s="62"/>
      <c r="V228" s="63"/>
      <c r="W228" s="63">
        <f>(IF(B228="-",0,B228)*(12+IF(R228=1,1,0)))+IF(M228="-",0,M228*10)+IF(N228="-",0,N228*10)</f>
        <v>0</v>
      </c>
      <c r="X228" s="70" t="s">
        <v>258</v>
      </c>
    </row>
    <row r="229" spans="1:24" s="42" customFormat="1" ht="15.75" customHeight="1">
      <c r="A229" s="71" t="s">
        <v>217</v>
      </c>
      <c r="B229" s="66" t="s">
        <v>142</v>
      </c>
      <c r="C229" s="56">
        <v>3</v>
      </c>
      <c r="D229" s="56">
        <v>4</v>
      </c>
      <c r="E229" s="56">
        <v>3</v>
      </c>
      <c r="F229" s="67" t="s">
        <v>124</v>
      </c>
      <c r="G229" s="56">
        <v>4</v>
      </c>
      <c r="H229" s="56">
        <v>1</v>
      </c>
      <c r="I229" s="56">
        <v>2</v>
      </c>
      <c r="J229" s="56">
        <v>2</v>
      </c>
      <c r="K229" s="57">
        <v>9</v>
      </c>
      <c r="L229" s="125"/>
      <c r="M229" s="59"/>
      <c r="N229" s="56"/>
      <c r="O229" s="56">
        <v>1</v>
      </c>
      <c r="P229" s="56" t="s">
        <v>142</v>
      </c>
      <c r="Q229" s="56" t="s">
        <v>318</v>
      </c>
      <c r="R229" s="167" t="str">
        <f>R228</f>
        <v>-</v>
      </c>
      <c r="S229" s="60" t="str">
        <f>VLOOKUP(T229,RW,$Z$414,FALSE)</f>
        <v>5+</v>
      </c>
      <c r="T229" s="69">
        <f>VLOOKUP(Q229,Ruestung,$Z$406,FALSE)+IF(R229=1,1,0)</f>
        <v>2</v>
      </c>
      <c r="U229" s="62"/>
      <c r="V229" s="63"/>
      <c r="W229" s="112">
        <f>IF(B229="-",0,B229)*(22+IF(R229=1,1,0)+VLOOKUP(X231,Waffen,$AB$451,FALSE))</f>
        <v>0</v>
      </c>
      <c r="X229" s="70" t="s">
        <v>259</v>
      </c>
    </row>
    <row r="230" spans="1:29" s="42" customFormat="1" ht="15.75" customHeight="1">
      <c r="A230" s="71"/>
      <c r="B230" s="72"/>
      <c r="C230" s="56"/>
      <c r="D230" s="56"/>
      <c r="E230" s="56"/>
      <c r="F230" s="56"/>
      <c r="G230" s="56"/>
      <c r="H230" s="56"/>
      <c r="I230" s="56"/>
      <c r="J230" s="56"/>
      <c r="K230" s="57"/>
      <c r="L230" s="125"/>
      <c r="M230" s="59"/>
      <c r="N230" s="56"/>
      <c r="O230" s="56"/>
      <c r="P230" s="56"/>
      <c r="Q230" s="56"/>
      <c r="R230" s="167"/>
      <c r="S230" s="79"/>
      <c r="T230" s="176"/>
      <c r="U230" s="62"/>
      <c r="V230" s="63"/>
      <c r="W230" s="112"/>
      <c r="X230" s="77" t="s">
        <v>326</v>
      </c>
      <c r="AC230" s="165"/>
    </row>
    <row r="231" spans="1:29" s="42" customFormat="1" ht="15.75" customHeight="1">
      <c r="A231" s="65"/>
      <c r="B231" s="72"/>
      <c r="C231" s="56"/>
      <c r="D231" s="56"/>
      <c r="E231" s="56"/>
      <c r="F231" s="56"/>
      <c r="G231" s="56"/>
      <c r="H231" s="56"/>
      <c r="I231" s="56"/>
      <c r="J231" s="56"/>
      <c r="K231" s="57"/>
      <c r="L231" s="125"/>
      <c r="M231" s="59"/>
      <c r="N231" s="56"/>
      <c r="O231" s="56"/>
      <c r="P231" s="56"/>
      <c r="Q231" s="56"/>
      <c r="R231" s="167"/>
      <c r="S231" s="79"/>
      <c r="T231" s="176"/>
      <c r="U231" s="62"/>
      <c r="V231" s="63"/>
      <c r="W231" s="112"/>
      <c r="X231" s="80" t="s">
        <v>331</v>
      </c>
      <c r="AC231" s="165"/>
    </row>
    <row r="232" spans="1:29" s="42" customFormat="1" ht="15.75" customHeight="1">
      <c r="A232" s="65"/>
      <c r="B232" s="72"/>
      <c r="C232" s="56"/>
      <c r="D232" s="56"/>
      <c r="E232" s="56"/>
      <c r="F232" s="56"/>
      <c r="G232" s="56"/>
      <c r="H232" s="56"/>
      <c r="I232" s="56"/>
      <c r="J232" s="56"/>
      <c r="K232" s="57"/>
      <c r="L232" s="125"/>
      <c r="M232" s="59"/>
      <c r="N232" s="56"/>
      <c r="O232" s="56"/>
      <c r="P232" s="56"/>
      <c r="Q232" s="56"/>
      <c r="R232" s="167"/>
      <c r="S232" s="79"/>
      <c r="T232" s="176"/>
      <c r="U232" s="62"/>
      <c r="V232" s="63"/>
      <c r="W232" s="112"/>
      <c r="X232" s="80" t="str">
        <f>VLOOKUP(X231,Waffen,$Y$451,FALSE)</f>
        <v>-</v>
      </c>
      <c r="AC232" s="165"/>
    </row>
    <row r="233" spans="1:29" s="42" customFormat="1" ht="15.75" customHeight="1">
      <c r="A233" s="65"/>
      <c r="B233" s="72"/>
      <c r="C233" s="56"/>
      <c r="D233" s="56"/>
      <c r="E233" s="56"/>
      <c r="F233" s="56"/>
      <c r="G233" s="56"/>
      <c r="H233" s="56"/>
      <c r="I233" s="56"/>
      <c r="J233" s="56"/>
      <c r="K233" s="57"/>
      <c r="L233" s="125"/>
      <c r="M233" s="59"/>
      <c r="N233" s="56"/>
      <c r="O233" s="56"/>
      <c r="P233" s="56"/>
      <c r="Q233" s="56"/>
      <c r="R233" s="167"/>
      <c r="S233" s="79"/>
      <c r="T233" s="176"/>
      <c r="U233" s="62"/>
      <c r="V233" s="63"/>
      <c r="W233" s="112"/>
      <c r="X233" s="80" t="str">
        <f>VLOOKUP(X231,Waffen,$Z$451,FALSE)</f>
        <v>-</v>
      </c>
      <c r="AC233" s="165"/>
    </row>
    <row r="234" spans="1:29" s="42" customFormat="1" ht="15.75" customHeight="1">
      <c r="A234" s="65"/>
      <c r="B234" s="72"/>
      <c r="C234" s="56"/>
      <c r="D234" s="56"/>
      <c r="E234" s="56"/>
      <c r="F234" s="56"/>
      <c r="G234" s="56"/>
      <c r="H234" s="56"/>
      <c r="I234" s="56"/>
      <c r="J234" s="56"/>
      <c r="K234" s="57"/>
      <c r="L234" s="125"/>
      <c r="M234" s="59"/>
      <c r="N234" s="56"/>
      <c r="O234" s="56"/>
      <c r="P234" s="56"/>
      <c r="Q234" s="56"/>
      <c r="R234" s="167"/>
      <c r="S234" s="79"/>
      <c r="T234" s="176"/>
      <c r="U234" s="62"/>
      <c r="V234" s="63"/>
      <c r="W234" s="112"/>
      <c r="X234" s="77"/>
      <c r="AC234" s="165"/>
    </row>
    <row r="235" spans="1:24" s="42" customFormat="1" ht="15.75" customHeight="1">
      <c r="A235" s="65"/>
      <c r="B235" s="72"/>
      <c r="C235" s="56"/>
      <c r="D235" s="56"/>
      <c r="E235" s="56"/>
      <c r="F235" s="56"/>
      <c r="G235" s="56"/>
      <c r="H235" s="56"/>
      <c r="I235" s="56"/>
      <c r="J235" s="56"/>
      <c r="K235" s="57"/>
      <c r="L235" s="125"/>
      <c r="M235" s="59"/>
      <c r="N235" s="56"/>
      <c r="O235" s="56"/>
      <c r="P235" s="56"/>
      <c r="Q235" s="56"/>
      <c r="R235" s="57"/>
      <c r="S235" s="79"/>
      <c r="T235" s="44"/>
      <c r="U235" s="62"/>
      <c r="V235" s="63"/>
      <c r="W235" s="63"/>
      <c r="X235" s="77"/>
    </row>
    <row r="236" spans="1:24" s="42" customFormat="1" ht="24.75" customHeight="1">
      <c r="A236" s="117" t="s">
        <v>412</v>
      </c>
      <c r="B236" s="118" t="s">
        <v>147</v>
      </c>
      <c r="C236" s="119" t="s">
        <v>145</v>
      </c>
      <c r="D236" s="119" t="s">
        <v>253</v>
      </c>
      <c r="E236" s="119" t="s">
        <v>206</v>
      </c>
      <c r="F236" s="119" t="s">
        <v>318</v>
      </c>
      <c r="G236" s="119" t="s">
        <v>146</v>
      </c>
      <c r="H236" s="119" t="s">
        <v>207</v>
      </c>
      <c r="I236" s="119" t="s">
        <v>208</v>
      </c>
      <c r="J236" s="119" t="s">
        <v>209</v>
      </c>
      <c r="K236" s="119" t="s">
        <v>210</v>
      </c>
      <c r="L236" s="120"/>
      <c r="M236" s="119" t="s">
        <v>139</v>
      </c>
      <c r="N236" s="119" t="s">
        <v>140</v>
      </c>
      <c r="O236" s="119" t="s">
        <v>311</v>
      </c>
      <c r="P236" s="119" t="s">
        <v>312</v>
      </c>
      <c r="Q236" s="119" t="s">
        <v>103</v>
      </c>
      <c r="R236" s="119" t="s">
        <v>105</v>
      </c>
      <c r="S236" s="121" t="s">
        <v>343</v>
      </c>
      <c r="T236" s="119"/>
      <c r="U236" s="122" t="s">
        <v>104</v>
      </c>
      <c r="V236" s="123" t="s">
        <v>187</v>
      </c>
      <c r="W236" s="124" t="s">
        <v>322</v>
      </c>
      <c r="X236" s="122" t="s">
        <v>410</v>
      </c>
    </row>
    <row r="237" spans="1:24" s="42" customFormat="1" ht="15" customHeight="1">
      <c r="A237" s="55"/>
      <c r="B237" s="56"/>
      <c r="C237" s="56"/>
      <c r="D237" s="56"/>
      <c r="E237" s="56"/>
      <c r="F237" s="56"/>
      <c r="G237" s="56"/>
      <c r="H237" s="56"/>
      <c r="I237" s="56"/>
      <c r="J237" s="56"/>
      <c r="K237" s="57"/>
      <c r="L237" s="58"/>
      <c r="M237" s="59"/>
      <c r="N237" s="56"/>
      <c r="O237" s="56"/>
      <c r="P237" s="56"/>
      <c r="Q237" s="56"/>
      <c r="R237" s="57"/>
      <c r="S237" s="60"/>
      <c r="T237" s="61"/>
      <c r="U237" s="62"/>
      <c r="V237" s="63"/>
      <c r="W237" s="63"/>
      <c r="X237" s="70"/>
    </row>
    <row r="238" spans="1:24" s="42" customFormat="1" ht="15" customHeight="1">
      <c r="A238" s="71"/>
      <c r="B238" s="56"/>
      <c r="C238" s="56"/>
      <c r="D238" s="56"/>
      <c r="E238" s="56"/>
      <c r="F238" s="56"/>
      <c r="G238" s="56"/>
      <c r="H238" s="56"/>
      <c r="I238" s="56"/>
      <c r="J238" s="56"/>
      <c r="K238" s="57"/>
      <c r="L238" s="58"/>
      <c r="M238" s="59"/>
      <c r="N238" s="56"/>
      <c r="O238" s="56"/>
      <c r="P238" s="56"/>
      <c r="Q238" s="56"/>
      <c r="R238" s="57"/>
      <c r="S238" s="60"/>
      <c r="T238" s="61"/>
      <c r="U238" s="62"/>
      <c r="V238" s="63"/>
      <c r="W238" s="63"/>
      <c r="X238" s="70"/>
    </row>
    <row r="239" spans="1:27" s="42" customFormat="1" ht="15.75" customHeight="1">
      <c r="A239" s="71" t="s">
        <v>281</v>
      </c>
      <c r="B239" s="66" t="s">
        <v>142</v>
      </c>
      <c r="C239" s="56">
        <v>3</v>
      </c>
      <c r="D239" s="56">
        <v>5</v>
      </c>
      <c r="E239" s="56">
        <v>3</v>
      </c>
      <c r="F239" s="67" t="s">
        <v>383</v>
      </c>
      <c r="G239" s="56">
        <v>4</v>
      </c>
      <c r="H239" s="56">
        <v>1</v>
      </c>
      <c r="I239" s="56">
        <v>2</v>
      </c>
      <c r="J239" s="56">
        <v>2</v>
      </c>
      <c r="K239" s="57">
        <v>9</v>
      </c>
      <c r="L239" s="125"/>
      <c r="M239" s="181" t="s">
        <v>142</v>
      </c>
      <c r="N239" s="66" t="s">
        <v>142</v>
      </c>
      <c r="O239" s="56">
        <v>1</v>
      </c>
      <c r="P239" s="56">
        <v>1</v>
      </c>
      <c r="Q239" s="56" t="s">
        <v>318</v>
      </c>
      <c r="R239" s="108" t="s">
        <v>142</v>
      </c>
      <c r="S239" s="60" t="str">
        <f>VLOOKUP(T239,RW,$Z$414,FALSE)</f>
        <v>5+</v>
      </c>
      <c r="T239" s="69">
        <f>VLOOKUP(Q239,Ruestung,$Z$406,FALSE)+IF(R239=1,1,0)</f>
        <v>2</v>
      </c>
      <c r="U239" s="62"/>
      <c r="V239" s="109" t="s">
        <v>142</v>
      </c>
      <c r="W239" s="63">
        <f>(IF(B239="-",0,B239)*(14+IF(R239=1,1,0)))+IF(M239="-",0,M239*10)+IF(N239="-",0,N239*10)+IF(V239="-",0,V239)</f>
        <v>0</v>
      </c>
      <c r="X239" s="70" t="s">
        <v>258</v>
      </c>
      <c r="Z239" s="93"/>
      <c r="AA239" s="93"/>
    </row>
    <row r="240" spans="1:24" s="42" customFormat="1" ht="15.75" customHeight="1">
      <c r="A240" s="71" t="s">
        <v>282</v>
      </c>
      <c r="B240" s="66" t="s">
        <v>142</v>
      </c>
      <c r="C240" s="56">
        <v>3</v>
      </c>
      <c r="D240" s="56">
        <v>5</v>
      </c>
      <c r="E240" s="56">
        <v>3</v>
      </c>
      <c r="F240" s="67" t="s">
        <v>383</v>
      </c>
      <c r="G240" s="56">
        <v>4</v>
      </c>
      <c r="H240" s="56">
        <v>1</v>
      </c>
      <c r="I240" s="56">
        <v>2</v>
      </c>
      <c r="J240" s="56">
        <v>3</v>
      </c>
      <c r="K240" s="57">
        <v>9</v>
      </c>
      <c r="L240" s="125"/>
      <c r="M240" s="59"/>
      <c r="N240" s="56"/>
      <c r="O240" s="56">
        <v>1</v>
      </c>
      <c r="P240" s="56">
        <v>1</v>
      </c>
      <c r="Q240" s="56" t="s">
        <v>318</v>
      </c>
      <c r="R240" s="167" t="str">
        <f>R239</f>
        <v>-</v>
      </c>
      <c r="S240" s="60" t="str">
        <f>VLOOKUP(T240,RW,$Z$414,FALSE)</f>
        <v>5+</v>
      </c>
      <c r="T240" s="69">
        <f>VLOOKUP(Q240,Ruestung,$Z$406,FALSE)+IF(R240=1,1,0)</f>
        <v>2</v>
      </c>
      <c r="U240" s="62"/>
      <c r="V240" s="109" t="s">
        <v>142</v>
      </c>
      <c r="W240" s="63">
        <f>IF(B240="-",0,B240)*(24+IF(R240=1,1,0)+IF(V240="-",0,V240))</f>
        <v>0</v>
      </c>
      <c r="X240" s="70" t="s">
        <v>377</v>
      </c>
    </row>
    <row r="241" spans="1:24" s="42" customFormat="1" ht="15.75" customHeight="1">
      <c r="A241" s="71"/>
      <c r="B241" s="56"/>
      <c r="C241" s="56"/>
      <c r="D241" s="56"/>
      <c r="E241" s="56"/>
      <c r="F241" s="56"/>
      <c r="G241" s="56"/>
      <c r="H241" s="56"/>
      <c r="I241" s="56"/>
      <c r="J241" s="56"/>
      <c r="K241" s="57"/>
      <c r="L241" s="125"/>
      <c r="M241" s="59"/>
      <c r="N241" s="56"/>
      <c r="O241" s="56"/>
      <c r="P241" s="56"/>
      <c r="Q241" s="56"/>
      <c r="R241" s="57"/>
      <c r="S241" s="79"/>
      <c r="T241" s="44"/>
      <c r="U241" s="62"/>
      <c r="V241" s="63"/>
      <c r="W241" s="63"/>
      <c r="X241" s="73" t="s">
        <v>378</v>
      </c>
    </row>
    <row r="242" spans="1:24" s="42" customFormat="1" ht="15.75" customHeight="1">
      <c r="A242" s="55"/>
      <c r="B242" s="56"/>
      <c r="C242" s="56"/>
      <c r="D242" s="56"/>
      <c r="E242" s="56"/>
      <c r="F242" s="56"/>
      <c r="G242" s="56"/>
      <c r="H242" s="56"/>
      <c r="I242" s="56"/>
      <c r="J242" s="56"/>
      <c r="K242" s="57"/>
      <c r="L242" s="125"/>
      <c r="M242" s="59"/>
      <c r="N242" s="56"/>
      <c r="O242" s="56"/>
      <c r="P242" s="56"/>
      <c r="Q242" s="56"/>
      <c r="R242" s="57"/>
      <c r="S242" s="79"/>
      <c r="T242" s="44"/>
      <c r="U242" s="62"/>
      <c r="V242" s="63"/>
      <c r="W242" s="63"/>
      <c r="X242" s="77"/>
    </row>
    <row r="243" spans="1:24" s="42" customFormat="1" ht="15.75" customHeight="1">
      <c r="A243" s="55"/>
      <c r="B243" s="56"/>
      <c r="C243" s="56"/>
      <c r="D243" s="56"/>
      <c r="E243" s="56"/>
      <c r="F243" s="56"/>
      <c r="G243" s="56"/>
      <c r="H243" s="56"/>
      <c r="I243" s="56"/>
      <c r="J243" s="56"/>
      <c r="K243" s="57"/>
      <c r="L243" s="125"/>
      <c r="M243" s="59"/>
      <c r="N243" s="56"/>
      <c r="O243" s="56"/>
      <c r="P243" s="56"/>
      <c r="Q243" s="56"/>
      <c r="R243" s="57"/>
      <c r="S243" s="79"/>
      <c r="T243" s="44"/>
      <c r="U243" s="62"/>
      <c r="V243" s="63"/>
      <c r="W243" s="63"/>
      <c r="X243" s="77"/>
    </row>
    <row r="244" spans="1:24" s="42" customFormat="1" ht="15.75" customHeight="1">
      <c r="A244" s="65" t="s">
        <v>120</v>
      </c>
      <c r="B244" s="66" t="s">
        <v>142</v>
      </c>
      <c r="C244" s="56">
        <v>3</v>
      </c>
      <c r="D244" s="56">
        <v>4</v>
      </c>
      <c r="E244" s="56">
        <v>3</v>
      </c>
      <c r="F244" s="67" t="s">
        <v>407</v>
      </c>
      <c r="G244" s="56">
        <v>4</v>
      </c>
      <c r="H244" s="56">
        <v>1</v>
      </c>
      <c r="I244" s="56">
        <v>2</v>
      </c>
      <c r="J244" s="56">
        <v>1</v>
      </c>
      <c r="K244" s="57">
        <v>9</v>
      </c>
      <c r="L244" s="125"/>
      <c r="M244" s="181" t="s">
        <v>142</v>
      </c>
      <c r="N244" s="66" t="s">
        <v>142</v>
      </c>
      <c r="O244" s="56">
        <v>1</v>
      </c>
      <c r="P244" s="56">
        <v>1</v>
      </c>
      <c r="Q244" s="56" t="s">
        <v>318</v>
      </c>
      <c r="R244" s="57" t="s">
        <v>142</v>
      </c>
      <c r="S244" s="60" t="str">
        <f>VLOOKUP(T244,RW,$Z$414,FALSE)</f>
        <v>5+</v>
      </c>
      <c r="T244" s="69">
        <f>VLOOKUP(Q244,Ruestung,$Z$406,FALSE)+IF(R244=1,1,0)</f>
        <v>2</v>
      </c>
      <c r="U244" s="62"/>
      <c r="V244" s="63"/>
      <c r="W244" s="63">
        <f>(IF(B244="-",0,B244)*(10+VLOOKUP(X249,Waffen,$AB$451,FALSE)))+IF(M244="-",0,M244*10)+IF(N244="-",0,N244*10)</f>
        <v>0</v>
      </c>
      <c r="X244" s="70" t="s">
        <v>198</v>
      </c>
    </row>
    <row r="245" spans="1:24" s="42" customFormat="1" ht="15.75" customHeight="1">
      <c r="A245" s="71" t="s">
        <v>280</v>
      </c>
      <c r="B245" s="66" t="s">
        <v>142</v>
      </c>
      <c r="C245" s="56">
        <v>3</v>
      </c>
      <c r="D245" s="56">
        <v>4</v>
      </c>
      <c r="E245" s="56">
        <v>3</v>
      </c>
      <c r="F245" s="67" t="s">
        <v>407</v>
      </c>
      <c r="G245" s="56">
        <v>4</v>
      </c>
      <c r="H245" s="56">
        <v>1</v>
      </c>
      <c r="I245" s="56">
        <v>2</v>
      </c>
      <c r="J245" s="56">
        <v>2</v>
      </c>
      <c r="K245" s="57">
        <v>9</v>
      </c>
      <c r="L245" s="125"/>
      <c r="M245" s="59"/>
      <c r="N245" s="56"/>
      <c r="O245" s="56">
        <v>1</v>
      </c>
      <c r="P245" s="72">
        <v>1</v>
      </c>
      <c r="Q245" s="56" t="s">
        <v>318</v>
      </c>
      <c r="R245" s="57" t="s">
        <v>142</v>
      </c>
      <c r="S245" s="60" t="str">
        <f>VLOOKUP(T245,RW,$Z$414,FALSE)</f>
        <v>5+</v>
      </c>
      <c r="T245" s="69">
        <f>VLOOKUP(Q245,Ruestung,$Z$406,FALSE)+IF(R245=1,1,0)</f>
        <v>2</v>
      </c>
      <c r="U245" s="62"/>
      <c r="V245" s="63"/>
      <c r="W245" s="63">
        <f>(IF(B245="-",0,B245)*(20+VLOOKUP(X247,Waffen,$AB$451,FALSE)))</f>
        <v>0</v>
      </c>
      <c r="X245" s="70" t="s">
        <v>379</v>
      </c>
    </row>
    <row r="246" spans="1:24" s="42" customFormat="1" ht="15.75" customHeight="1">
      <c r="A246" s="71"/>
      <c r="B246" s="56"/>
      <c r="C246" s="56"/>
      <c r="D246" s="56"/>
      <c r="E246" s="56"/>
      <c r="F246" s="56"/>
      <c r="G246" s="56"/>
      <c r="H246" s="56"/>
      <c r="I246" s="56"/>
      <c r="J246" s="56"/>
      <c r="K246" s="57"/>
      <c r="L246" s="125"/>
      <c r="M246" s="59"/>
      <c r="N246" s="56"/>
      <c r="O246" s="56"/>
      <c r="P246" s="56"/>
      <c r="Q246" s="56"/>
      <c r="R246" s="57"/>
      <c r="S246" s="60"/>
      <c r="T246" s="61"/>
      <c r="U246" s="62"/>
      <c r="V246" s="63"/>
      <c r="W246" s="63"/>
      <c r="X246" s="73" t="s">
        <v>380</v>
      </c>
    </row>
    <row r="247" spans="1:24" s="42" customFormat="1" ht="15.75" customHeight="1">
      <c r="A247" s="71"/>
      <c r="B247" s="56"/>
      <c r="C247" s="56"/>
      <c r="D247" s="56"/>
      <c r="E247" s="56"/>
      <c r="F247" s="56"/>
      <c r="G247" s="56"/>
      <c r="H247" s="56"/>
      <c r="I247" s="56"/>
      <c r="J247" s="56"/>
      <c r="K247" s="57"/>
      <c r="L247" s="125"/>
      <c r="M247" s="59"/>
      <c r="N247" s="56"/>
      <c r="O247" s="56"/>
      <c r="P247" s="56"/>
      <c r="Q247" s="56"/>
      <c r="R247" s="57"/>
      <c r="S247" s="60"/>
      <c r="T247" s="61"/>
      <c r="U247" s="62"/>
      <c r="V247" s="63"/>
      <c r="W247" s="63"/>
      <c r="X247" s="80" t="s">
        <v>331</v>
      </c>
    </row>
    <row r="248" spans="1:24" s="42" customFormat="1" ht="15.75" customHeight="1">
      <c r="A248" s="71"/>
      <c r="B248" s="56"/>
      <c r="C248" s="56"/>
      <c r="D248" s="56"/>
      <c r="E248" s="56"/>
      <c r="F248" s="56"/>
      <c r="G248" s="56"/>
      <c r="H248" s="56"/>
      <c r="I248" s="56"/>
      <c r="J248" s="56"/>
      <c r="K248" s="57"/>
      <c r="L248" s="125"/>
      <c r="M248" s="59"/>
      <c r="N248" s="56"/>
      <c r="O248" s="56"/>
      <c r="P248" s="56"/>
      <c r="Q248" s="56"/>
      <c r="R248" s="57"/>
      <c r="S248" s="60"/>
      <c r="T248" s="61"/>
      <c r="U248" s="62"/>
      <c r="V248" s="63"/>
      <c r="W248" s="63"/>
      <c r="X248" s="80" t="str">
        <f>VLOOKUP(X247,Waffen,$Y$451,FALSE)</f>
        <v>-</v>
      </c>
    </row>
    <row r="249" spans="1:24" s="42" customFormat="1" ht="15.75" customHeight="1">
      <c r="A249" s="71"/>
      <c r="B249" s="56"/>
      <c r="C249" s="56"/>
      <c r="D249" s="56"/>
      <c r="E249" s="56"/>
      <c r="F249" s="56"/>
      <c r="G249" s="56"/>
      <c r="H249" s="56"/>
      <c r="I249" s="56"/>
      <c r="J249" s="56"/>
      <c r="K249" s="57"/>
      <c r="L249" s="125"/>
      <c r="M249" s="59"/>
      <c r="N249" s="56"/>
      <c r="O249" s="56"/>
      <c r="P249" s="56"/>
      <c r="Q249" s="56"/>
      <c r="R249" s="57"/>
      <c r="S249" s="60"/>
      <c r="T249" s="61"/>
      <c r="U249" s="62"/>
      <c r="V249" s="63"/>
      <c r="W249" s="63"/>
      <c r="X249" s="80" t="s">
        <v>331</v>
      </c>
    </row>
    <row r="250" spans="1:24" s="42" customFormat="1" ht="15.75" customHeight="1">
      <c r="A250" s="71"/>
      <c r="B250" s="56"/>
      <c r="C250" s="56"/>
      <c r="D250" s="56"/>
      <c r="E250" s="56"/>
      <c r="F250" s="56"/>
      <c r="G250" s="56"/>
      <c r="H250" s="56"/>
      <c r="I250" s="56"/>
      <c r="J250" s="56"/>
      <c r="K250" s="57"/>
      <c r="L250" s="125"/>
      <c r="M250" s="59"/>
      <c r="N250" s="56"/>
      <c r="O250" s="56"/>
      <c r="P250" s="56"/>
      <c r="Q250" s="56"/>
      <c r="R250" s="57"/>
      <c r="S250" s="60"/>
      <c r="T250" s="61"/>
      <c r="U250" s="62"/>
      <c r="V250" s="63"/>
      <c r="W250" s="63"/>
      <c r="X250" s="80" t="str">
        <f>VLOOKUP(X249,Waffen,$Y$451,FALSE)</f>
        <v>-</v>
      </c>
    </row>
    <row r="251" spans="1:24" s="42" customFormat="1" ht="15.75" customHeight="1">
      <c r="A251" s="71"/>
      <c r="B251" s="56"/>
      <c r="C251" s="56"/>
      <c r="D251" s="56"/>
      <c r="E251" s="56"/>
      <c r="F251" s="56"/>
      <c r="G251" s="56"/>
      <c r="H251" s="56"/>
      <c r="I251" s="56"/>
      <c r="J251" s="56"/>
      <c r="K251" s="57"/>
      <c r="L251" s="125"/>
      <c r="M251" s="59"/>
      <c r="N251" s="56"/>
      <c r="O251" s="56"/>
      <c r="P251" s="56"/>
      <c r="Q251" s="56"/>
      <c r="R251" s="57"/>
      <c r="S251" s="60"/>
      <c r="T251" s="61"/>
      <c r="U251" s="62"/>
      <c r="V251" s="63"/>
      <c r="W251" s="63"/>
      <c r="X251" s="73"/>
    </row>
    <row r="252" spans="1:24" s="42" customFormat="1" ht="15.75" customHeight="1">
      <c r="A252" s="71"/>
      <c r="B252" s="56"/>
      <c r="C252" s="56"/>
      <c r="D252" s="56"/>
      <c r="E252" s="56"/>
      <c r="F252" s="56"/>
      <c r="G252" s="56"/>
      <c r="H252" s="56"/>
      <c r="I252" s="56"/>
      <c r="J252" s="56"/>
      <c r="K252" s="57"/>
      <c r="L252" s="125"/>
      <c r="M252" s="59"/>
      <c r="N252" s="56"/>
      <c r="O252" s="56"/>
      <c r="P252" s="56"/>
      <c r="Q252" s="56"/>
      <c r="R252" s="57"/>
      <c r="S252" s="60"/>
      <c r="T252" s="61"/>
      <c r="U252" s="62"/>
      <c r="V252" s="63"/>
      <c r="W252" s="63"/>
      <c r="X252" s="73"/>
    </row>
    <row r="253" spans="1:24" s="42" customFormat="1" ht="15.75" customHeight="1">
      <c r="A253" s="71" t="s">
        <v>323</v>
      </c>
      <c r="B253" s="66" t="s">
        <v>142</v>
      </c>
      <c r="C253" s="56">
        <v>3</v>
      </c>
      <c r="D253" s="56">
        <v>5</v>
      </c>
      <c r="E253" s="56">
        <v>3</v>
      </c>
      <c r="F253" s="67" t="s">
        <v>123</v>
      </c>
      <c r="G253" s="56">
        <v>4</v>
      </c>
      <c r="H253" s="56">
        <v>1</v>
      </c>
      <c r="I253" s="56">
        <v>2</v>
      </c>
      <c r="J253" s="56">
        <v>1</v>
      </c>
      <c r="K253" s="57">
        <v>9</v>
      </c>
      <c r="L253" s="125"/>
      <c r="M253" s="181" t="s">
        <v>142</v>
      </c>
      <c r="N253" s="66" t="s">
        <v>142</v>
      </c>
      <c r="O253" s="56">
        <v>1</v>
      </c>
      <c r="P253" s="56" t="s">
        <v>142</v>
      </c>
      <c r="Q253" s="56" t="s">
        <v>114</v>
      </c>
      <c r="R253" s="57">
        <v>1</v>
      </c>
      <c r="S253" s="60" t="str">
        <f>VLOOKUP(T253,RW,$Z$414,FALSE)</f>
        <v>3+</v>
      </c>
      <c r="T253" s="69">
        <f>VLOOKUP(Q253,Ruestung,$Z$406,FALSE)+IF(R253=1,1,0)</f>
        <v>4</v>
      </c>
      <c r="U253" s="62"/>
      <c r="V253" s="109" t="s">
        <v>142</v>
      </c>
      <c r="W253" s="63">
        <f>(IF(B253="-",0,B253)*14)+IF(M253="-",0,M253*10)+IF(N253="-",0,N253*10)+IF(V253="-",0,V253)</f>
        <v>0</v>
      </c>
      <c r="X253" s="70" t="s">
        <v>384</v>
      </c>
    </row>
    <row r="254" spans="1:24" s="42" customFormat="1" ht="15.75" customHeight="1">
      <c r="A254" s="71" t="s">
        <v>156</v>
      </c>
      <c r="B254" s="66" t="s">
        <v>142</v>
      </c>
      <c r="C254" s="56">
        <v>3</v>
      </c>
      <c r="D254" s="56">
        <v>5</v>
      </c>
      <c r="E254" s="56">
        <v>3</v>
      </c>
      <c r="F254" s="67" t="s">
        <v>123</v>
      </c>
      <c r="G254" s="56">
        <v>4</v>
      </c>
      <c r="H254" s="56">
        <v>1</v>
      </c>
      <c r="I254" s="56">
        <v>2</v>
      </c>
      <c r="J254" s="67" t="s">
        <v>126</v>
      </c>
      <c r="K254" s="57">
        <v>9</v>
      </c>
      <c r="L254" s="125"/>
      <c r="M254" s="59"/>
      <c r="N254" s="56"/>
      <c r="O254" s="56">
        <v>1</v>
      </c>
      <c r="P254" s="56" t="s">
        <v>142</v>
      </c>
      <c r="Q254" s="56" t="s">
        <v>114</v>
      </c>
      <c r="R254" s="57">
        <v>1</v>
      </c>
      <c r="S254" s="60" t="str">
        <f>VLOOKUP(T254,RW,$Z$414,FALSE)</f>
        <v>3+</v>
      </c>
      <c r="T254" s="69">
        <f>VLOOKUP(Q254,Ruestung,$Z$406,FALSE)+IF(R254=1,1,0)</f>
        <v>4</v>
      </c>
      <c r="U254" s="62"/>
      <c r="V254" s="63"/>
      <c r="W254" s="63">
        <f>IF(B254="-",0,B254)*(24+VLOOKUP(X255,Eisendrachen,$Z$428,FALSE)+VLOOKUP(X258,Eisendrachen,$Z$428,FALSE))</f>
        <v>0</v>
      </c>
      <c r="X254" s="70" t="s">
        <v>385</v>
      </c>
    </row>
    <row r="255" spans="1:24" s="42" customFormat="1" ht="15.75" customHeight="1">
      <c r="A255" s="71"/>
      <c r="B255" s="56"/>
      <c r="C255" s="56"/>
      <c r="D255" s="56"/>
      <c r="E255" s="56"/>
      <c r="F255" s="56"/>
      <c r="G255" s="56"/>
      <c r="H255" s="56"/>
      <c r="I255" s="56"/>
      <c r="J255" s="56"/>
      <c r="K255" s="57"/>
      <c r="L255" s="125"/>
      <c r="M255" s="59"/>
      <c r="N255" s="56"/>
      <c r="O255" s="56"/>
      <c r="P255" s="56"/>
      <c r="Q255" s="56"/>
      <c r="R255" s="57"/>
      <c r="S255" s="60"/>
      <c r="T255" s="164"/>
      <c r="U255" s="62"/>
      <c r="V255" s="63"/>
      <c r="W255" s="63"/>
      <c r="X255" s="80" t="s">
        <v>250</v>
      </c>
    </row>
    <row r="256" spans="1:24" s="42" customFormat="1" ht="15.75" customHeight="1">
      <c r="A256" s="71"/>
      <c r="B256" s="56"/>
      <c r="C256" s="56"/>
      <c r="D256" s="56"/>
      <c r="E256" s="56"/>
      <c r="F256" s="56"/>
      <c r="G256" s="56"/>
      <c r="H256" s="56"/>
      <c r="I256" s="56"/>
      <c r="J256" s="56"/>
      <c r="K256" s="57"/>
      <c r="L256" s="125"/>
      <c r="M256" s="59"/>
      <c r="N256" s="56"/>
      <c r="O256" s="56"/>
      <c r="P256" s="56"/>
      <c r="Q256" s="56"/>
      <c r="R256" s="57"/>
      <c r="S256" s="60"/>
      <c r="T256" s="164"/>
      <c r="U256" s="62"/>
      <c r="V256" s="63"/>
      <c r="W256" s="63"/>
      <c r="X256" s="80" t="str">
        <f>VLOOKUP(X255,Eisendrachen,$Y$428,FALSE)</f>
        <v>-</v>
      </c>
    </row>
    <row r="257" spans="1:24" s="42" customFormat="1" ht="15.75" customHeight="1">
      <c r="A257" s="71"/>
      <c r="B257" s="56"/>
      <c r="C257" s="56"/>
      <c r="D257" s="56"/>
      <c r="E257" s="56"/>
      <c r="F257" s="56"/>
      <c r="G257" s="56"/>
      <c r="H257" s="56"/>
      <c r="I257" s="56"/>
      <c r="J257" s="56"/>
      <c r="K257" s="57"/>
      <c r="L257" s="125"/>
      <c r="M257" s="59"/>
      <c r="N257" s="56"/>
      <c r="O257" s="56"/>
      <c r="P257" s="56"/>
      <c r="Q257" s="56"/>
      <c r="R257" s="57"/>
      <c r="S257" s="60"/>
      <c r="T257" s="164"/>
      <c r="U257" s="62"/>
      <c r="V257" s="63"/>
      <c r="W257" s="63"/>
      <c r="X257" s="80" t="str">
        <f>VLOOKUP(X255,Eisendrachen,$AA$428,FALSE)</f>
        <v>-</v>
      </c>
    </row>
    <row r="258" spans="1:24" s="42" customFormat="1" ht="15.75" customHeight="1">
      <c r="A258" s="71"/>
      <c r="B258" s="56"/>
      <c r="C258" s="56"/>
      <c r="D258" s="56"/>
      <c r="E258" s="56"/>
      <c r="F258" s="56"/>
      <c r="G258" s="56"/>
      <c r="H258" s="56"/>
      <c r="I258" s="56"/>
      <c r="J258" s="56"/>
      <c r="K258" s="57"/>
      <c r="L258" s="125"/>
      <c r="M258" s="59"/>
      <c r="N258" s="56"/>
      <c r="O258" s="56"/>
      <c r="P258" s="56"/>
      <c r="Q258" s="56"/>
      <c r="R258" s="57"/>
      <c r="S258" s="60"/>
      <c r="T258" s="164"/>
      <c r="U258" s="62"/>
      <c r="V258" s="63"/>
      <c r="W258" s="63"/>
      <c r="X258" s="80" t="s">
        <v>200</v>
      </c>
    </row>
    <row r="259" spans="1:24" s="42" customFormat="1" ht="15.75" customHeight="1">
      <c r="A259" s="71"/>
      <c r="B259" s="56"/>
      <c r="C259" s="56"/>
      <c r="D259" s="56"/>
      <c r="E259" s="56"/>
      <c r="F259" s="56"/>
      <c r="G259" s="56"/>
      <c r="H259" s="56"/>
      <c r="I259" s="56"/>
      <c r="J259" s="56"/>
      <c r="K259" s="57"/>
      <c r="L259" s="125"/>
      <c r="M259" s="59"/>
      <c r="N259" s="56"/>
      <c r="O259" s="56"/>
      <c r="P259" s="56"/>
      <c r="Q259" s="56"/>
      <c r="R259" s="57"/>
      <c r="S259" s="60"/>
      <c r="T259" s="164"/>
      <c r="U259" s="62"/>
      <c r="V259" s="63"/>
      <c r="W259" s="63"/>
      <c r="X259" s="80" t="str">
        <f>VLOOKUP(X258,Eisendrachen,$Y$428,FALSE)</f>
        <v>-</v>
      </c>
    </row>
    <row r="260" spans="1:24" s="42" customFormat="1" ht="15.75" customHeight="1">
      <c r="A260" s="71"/>
      <c r="B260" s="56"/>
      <c r="C260" s="56"/>
      <c r="D260" s="56"/>
      <c r="E260" s="56"/>
      <c r="F260" s="56"/>
      <c r="G260" s="56"/>
      <c r="H260" s="56"/>
      <c r="I260" s="56"/>
      <c r="J260" s="56"/>
      <c r="K260" s="57"/>
      <c r="L260" s="125"/>
      <c r="M260" s="59"/>
      <c r="N260" s="56"/>
      <c r="O260" s="56"/>
      <c r="P260" s="56"/>
      <c r="Q260" s="56"/>
      <c r="R260" s="57"/>
      <c r="S260" s="60"/>
      <c r="T260" s="164"/>
      <c r="U260" s="62"/>
      <c r="V260" s="63"/>
      <c r="W260" s="63"/>
      <c r="X260" s="80" t="str">
        <f>VLOOKUP(X258,Eisendrachen,$AA$428,FALSE)</f>
        <v>-</v>
      </c>
    </row>
    <row r="261" spans="1:24" s="42" customFormat="1" ht="15.75" customHeight="1">
      <c r="A261" s="55"/>
      <c r="B261" s="72"/>
      <c r="C261" s="56"/>
      <c r="D261" s="56"/>
      <c r="E261" s="56"/>
      <c r="F261" s="56"/>
      <c r="G261" s="56"/>
      <c r="H261" s="56"/>
      <c r="I261" s="56"/>
      <c r="J261" s="56"/>
      <c r="K261" s="57"/>
      <c r="L261" s="125"/>
      <c r="M261" s="59"/>
      <c r="N261" s="56"/>
      <c r="O261" s="56"/>
      <c r="P261" s="56"/>
      <c r="Q261" s="56"/>
      <c r="R261" s="57"/>
      <c r="S261" s="60"/>
      <c r="T261" s="61"/>
      <c r="U261" s="62"/>
      <c r="V261" s="63"/>
      <c r="W261" s="63"/>
      <c r="X261" s="77"/>
    </row>
    <row r="262" spans="1:24" s="42" customFormat="1" ht="15.75" customHeight="1">
      <c r="A262" s="55"/>
      <c r="B262" s="72"/>
      <c r="C262" s="56"/>
      <c r="D262" s="56"/>
      <c r="E262" s="56"/>
      <c r="F262" s="56"/>
      <c r="G262" s="56"/>
      <c r="H262" s="56"/>
      <c r="I262" s="56"/>
      <c r="J262" s="56"/>
      <c r="K262" s="57"/>
      <c r="L262" s="125"/>
      <c r="M262" s="59"/>
      <c r="N262" s="56"/>
      <c r="O262" s="56"/>
      <c r="P262" s="56"/>
      <c r="Q262" s="56"/>
      <c r="R262" s="57"/>
      <c r="S262" s="60"/>
      <c r="T262" s="61"/>
      <c r="U262" s="62"/>
      <c r="V262" s="63"/>
      <c r="W262" s="63"/>
      <c r="X262" s="77"/>
    </row>
    <row r="263" spans="1:24" s="42" customFormat="1" ht="15.75" customHeight="1">
      <c r="A263" s="65" t="s">
        <v>289</v>
      </c>
      <c r="B263" s="66" t="s">
        <v>142</v>
      </c>
      <c r="C263" s="56">
        <v>3</v>
      </c>
      <c r="D263" s="56">
        <v>4</v>
      </c>
      <c r="E263" s="56">
        <v>3</v>
      </c>
      <c r="F263" s="67" t="s">
        <v>407</v>
      </c>
      <c r="G263" s="56">
        <v>4</v>
      </c>
      <c r="H263" s="56">
        <v>1</v>
      </c>
      <c r="I263" s="56">
        <v>2</v>
      </c>
      <c r="J263" s="67" t="s">
        <v>226</v>
      </c>
      <c r="K263" s="57">
        <v>10</v>
      </c>
      <c r="L263" s="125"/>
      <c r="M263" s="181" t="s">
        <v>142</v>
      </c>
      <c r="N263" s="66" t="s">
        <v>142</v>
      </c>
      <c r="O263" s="56">
        <v>2</v>
      </c>
      <c r="P263" s="56">
        <v>1</v>
      </c>
      <c r="Q263" s="56" t="s">
        <v>142</v>
      </c>
      <c r="R263" s="57" t="s">
        <v>142</v>
      </c>
      <c r="S263" s="60"/>
      <c r="T263" s="61"/>
      <c r="U263" s="62"/>
      <c r="V263" s="109" t="s">
        <v>142</v>
      </c>
      <c r="W263" s="63">
        <f>(IF(B263="-",0,B263)*12)+IF(M263="-",0,M263*10)+IF(N263="-",0,N263*10)+IF(V263="-",0,V263)</f>
        <v>0</v>
      </c>
      <c r="X263" s="70" t="s">
        <v>61</v>
      </c>
    </row>
    <row r="264" spans="1:24" s="42" customFormat="1" ht="15.75" customHeight="1">
      <c r="A264" s="71" t="s">
        <v>190</v>
      </c>
      <c r="B264" s="66" t="s">
        <v>142</v>
      </c>
      <c r="C264" s="56">
        <v>3</v>
      </c>
      <c r="D264" s="56">
        <v>5</v>
      </c>
      <c r="E264" s="56">
        <v>3</v>
      </c>
      <c r="F264" s="67" t="s">
        <v>383</v>
      </c>
      <c r="G264" s="56">
        <v>4</v>
      </c>
      <c r="H264" s="56">
        <v>1</v>
      </c>
      <c r="I264" s="56">
        <v>3</v>
      </c>
      <c r="J264" s="67" t="s">
        <v>126</v>
      </c>
      <c r="K264" s="57">
        <v>10</v>
      </c>
      <c r="L264" s="125"/>
      <c r="M264" s="183"/>
      <c r="N264" s="56"/>
      <c r="O264" s="56">
        <v>2</v>
      </c>
      <c r="P264" s="56">
        <v>1</v>
      </c>
      <c r="Q264" s="56" t="s">
        <v>142</v>
      </c>
      <c r="R264" s="57" t="s">
        <v>142</v>
      </c>
      <c r="S264" s="60"/>
      <c r="T264" s="61"/>
      <c r="U264" s="62"/>
      <c r="V264" s="109" t="s">
        <v>142</v>
      </c>
      <c r="W264" s="63">
        <f>IF(B264="-",0,B264)*(22+IF(V264="-",0,V264))</f>
        <v>0</v>
      </c>
      <c r="X264" s="74" t="s">
        <v>388</v>
      </c>
    </row>
    <row r="265" spans="1:24" s="42" customFormat="1" ht="15.75" customHeight="1">
      <c r="A265" s="71"/>
      <c r="B265" s="56"/>
      <c r="C265" s="56"/>
      <c r="D265" s="56"/>
      <c r="E265" s="56"/>
      <c r="F265" s="56"/>
      <c r="G265" s="56"/>
      <c r="H265" s="56"/>
      <c r="I265" s="56"/>
      <c r="J265" s="56"/>
      <c r="K265" s="57"/>
      <c r="L265" s="125"/>
      <c r="M265" s="59"/>
      <c r="N265" s="56"/>
      <c r="O265" s="56"/>
      <c r="P265" s="56"/>
      <c r="Q265" s="56"/>
      <c r="R265" s="57"/>
      <c r="S265" s="60"/>
      <c r="T265" s="61"/>
      <c r="U265" s="62"/>
      <c r="V265" s="63"/>
      <c r="W265" s="63"/>
      <c r="X265" s="73" t="s">
        <v>62</v>
      </c>
    </row>
    <row r="266" spans="1:24" s="42" customFormat="1" ht="15.75" customHeight="1">
      <c r="A266" s="71"/>
      <c r="B266" s="56"/>
      <c r="C266" s="56"/>
      <c r="D266" s="56"/>
      <c r="E266" s="56"/>
      <c r="F266" s="56"/>
      <c r="G266" s="56"/>
      <c r="H266" s="56"/>
      <c r="I266" s="56"/>
      <c r="J266" s="56"/>
      <c r="K266" s="57"/>
      <c r="L266" s="125"/>
      <c r="M266" s="59"/>
      <c r="N266" s="56"/>
      <c r="O266" s="56"/>
      <c r="P266" s="56"/>
      <c r="Q266" s="56"/>
      <c r="R266" s="57"/>
      <c r="S266" s="60"/>
      <c r="T266" s="61"/>
      <c r="U266" s="62"/>
      <c r="V266" s="63"/>
      <c r="W266" s="63"/>
      <c r="X266" s="73" t="s">
        <v>63</v>
      </c>
    </row>
    <row r="267" spans="1:24" s="42" customFormat="1" ht="15.75" customHeight="1">
      <c r="A267" s="71"/>
      <c r="B267" s="56"/>
      <c r="C267" s="56"/>
      <c r="D267" s="56"/>
      <c r="E267" s="56"/>
      <c r="F267" s="56"/>
      <c r="G267" s="56"/>
      <c r="H267" s="56"/>
      <c r="I267" s="56"/>
      <c r="J267" s="56"/>
      <c r="K267" s="57"/>
      <c r="L267" s="125"/>
      <c r="M267" s="59"/>
      <c r="N267" s="56"/>
      <c r="O267" s="56"/>
      <c r="P267" s="56"/>
      <c r="Q267" s="56"/>
      <c r="R267" s="57"/>
      <c r="S267" s="60"/>
      <c r="T267" s="61"/>
      <c r="U267" s="62"/>
      <c r="V267" s="63"/>
      <c r="W267" s="63"/>
      <c r="X267" s="75" t="s">
        <v>65</v>
      </c>
    </row>
    <row r="268" spans="1:24" s="42" customFormat="1" ht="15.75" customHeight="1">
      <c r="A268" s="71"/>
      <c r="B268" s="56"/>
      <c r="C268" s="56"/>
      <c r="D268" s="56"/>
      <c r="E268" s="56"/>
      <c r="F268" s="56"/>
      <c r="G268" s="56"/>
      <c r="H268" s="56"/>
      <c r="I268" s="56"/>
      <c r="J268" s="56"/>
      <c r="K268" s="57"/>
      <c r="L268" s="125"/>
      <c r="M268" s="59"/>
      <c r="N268" s="56"/>
      <c r="O268" s="56"/>
      <c r="P268" s="56"/>
      <c r="Q268" s="56"/>
      <c r="R268" s="57"/>
      <c r="S268" s="60"/>
      <c r="T268" s="61"/>
      <c r="U268" s="62"/>
      <c r="V268" s="63"/>
      <c r="W268" s="63"/>
      <c r="X268" s="73" t="s">
        <v>64</v>
      </c>
    </row>
    <row r="269" spans="1:24" s="42" customFormat="1" ht="15.75" customHeight="1">
      <c r="A269" s="71"/>
      <c r="B269" s="56"/>
      <c r="C269" s="56"/>
      <c r="D269" s="56"/>
      <c r="E269" s="56"/>
      <c r="F269" s="56"/>
      <c r="G269" s="56"/>
      <c r="H269" s="56"/>
      <c r="I269" s="56"/>
      <c r="J269" s="56"/>
      <c r="K269" s="57"/>
      <c r="L269" s="125"/>
      <c r="M269" s="59"/>
      <c r="N269" s="56"/>
      <c r="O269" s="56"/>
      <c r="P269" s="56"/>
      <c r="Q269" s="56"/>
      <c r="R269" s="57"/>
      <c r="S269" s="60"/>
      <c r="T269" s="61"/>
      <c r="U269" s="62"/>
      <c r="V269" s="63"/>
      <c r="W269" s="63"/>
      <c r="X269" s="73"/>
    </row>
    <row r="270" spans="1:24" s="42" customFormat="1" ht="15.75" customHeight="1">
      <c r="A270" s="71"/>
      <c r="B270" s="56"/>
      <c r="C270" s="56"/>
      <c r="D270" s="56"/>
      <c r="E270" s="56"/>
      <c r="F270" s="56"/>
      <c r="G270" s="56"/>
      <c r="H270" s="56"/>
      <c r="I270" s="56"/>
      <c r="J270" s="56"/>
      <c r="K270" s="57"/>
      <c r="L270" s="125"/>
      <c r="M270" s="61"/>
      <c r="N270" s="59"/>
      <c r="O270" s="56"/>
      <c r="P270" s="56"/>
      <c r="Q270" s="56"/>
      <c r="R270" s="57"/>
      <c r="S270" s="60"/>
      <c r="T270" s="61"/>
      <c r="U270" s="62"/>
      <c r="V270" s="63"/>
      <c r="W270" s="63"/>
      <c r="X270" s="73"/>
    </row>
    <row r="271" spans="1:24" s="42" customFormat="1" ht="15.75" customHeight="1">
      <c r="A271" s="55" t="s">
        <v>138</v>
      </c>
      <c r="B271" s="66" t="s">
        <v>142</v>
      </c>
      <c r="C271" s="56">
        <v>1</v>
      </c>
      <c r="D271" s="56">
        <v>4</v>
      </c>
      <c r="E271" s="56">
        <v>3</v>
      </c>
      <c r="F271" s="56">
        <v>4</v>
      </c>
      <c r="G271" s="56">
        <v>5</v>
      </c>
      <c r="H271" s="56">
        <v>3</v>
      </c>
      <c r="I271" s="56">
        <v>2</v>
      </c>
      <c r="J271" s="56">
        <v>2</v>
      </c>
      <c r="K271" s="57">
        <v>9</v>
      </c>
      <c r="L271" s="125"/>
      <c r="M271" s="184">
        <v>10</v>
      </c>
      <c r="N271" s="185"/>
      <c r="O271" s="56">
        <v>1</v>
      </c>
      <c r="P271" s="56" t="s">
        <v>142</v>
      </c>
      <c r="Q271" s="56" t="s">
        <v>142</v>
      </c>
      <c r="R271" s="57" t="s">
        <v>142</v>
      </c>
      <c r="S271" s="60" t="s">
        <v>307</v>
      </c>
      <c r="T271" s="61"/>
      <c r="U271" s="62"/>
      <c r="V271" s="63"/>
      <c r="W271" s="63">
        <f>IF(B271="-",0,B271)*(80+VLOOKUP(X278,Gyrokopter,$Z$440,FALSE))</f>
        <v>0</v>
      </c>
      <c r="X271" s="70" t="s">
        <v>335</v>
      </c>
    </row>
    <row r="272" spans="1:24" s="42" customFormat="1" ht="15.75" customHeight="1">
      <c r="A272" s="71"/>
      <c r="B272" s="56"/>
      <c r="C272" s="56"/>
      <c r="D272" s="56"/>
      <c r="E272" s="56"/>
      <c r="F272" s="56"/>
      <c r="G272" s="56"/>
      <c r="H272" s="56"/>
      <c r="I272" s="56"/>
      <c r="J272" s="56"/>
      <c r="K272" s="57"/>
      <c r="L272" s="125"/>
      <c r="M272" s="59"/>
      <c r="N272" s="56"/>
      <c r="O272" s="56"/>
      <c r="P272" s="56"/>
      <c r="Q272" s="56"/>
      <c r="R272" s="57"/>
      <c r="S272" s="60"/>
      <c r="T272" s="61"/>
      <c r="U272" s="62"/>
      <c r="V272" s="63"/>
      <c r="W272" s="63"/>
      <c r="X272" s="70" t="s">
        <v>391</v>
      </c>
    </row>
    <row r="273" spans="1:24" s="42" customFormat="1" ht="15.75" customHeight="1">
      <c r="A273" s="71"/>
      <c r="B273" s="56"/>
      <c r="C273" s="56"/>
      <c r="D273" s="56"/>
      <c r="E273" s="56"/>
      <c r="F273" s="56"/>
      <c r="G273" s="56"/>
      <c r="H273" s="56"/>
      <c r="I273" s="56"/>
      <c r="J273" s="56"/>
      <c r="K273" s="57"/>
      <c r="L273" s="125"/>
      <c r="M273" s="59"/>
      <c r="N273" s="56"/>
      <c r="O273" s="56"/>
      <c r="P273" s="56"/>
      <c r="Q273" s="56"/>
      <c r="R273" s="57"/>
      <c r="S273" s="60"/>
      <c r="T273" s="61"/>
      <c r="U273" s="62"/>
      <c r="V273" s="63"/>
      <c r="W273" s="63"/>
      <c r="X273" s="77" t="s">
        <v>392</v>
      </c>
    </row>
    <row r="274" spans="1:24" s="42" customFormat="1" ht="15.75" customHeight="1">
      <c r="A274" s="71"/>
      <c r="B274" s="56"/>
      <c r="C274" s="56"/>
      <c r="D274" s="56"/>
      <c r="E274" s="56"/>
      <c r="F274" s="56"/>
      <c r="G274" s="56"/>
      <c r="H274" s="56"/>
      <c r="I274" s="56"/>
      <c r="J274" s="56"/>
      <c r="K274" s="57"/>
      <c r="L274" s="125"/>
      <c r="M274" s="59"/>
      <c r="N274" s="56"/>
      <c r="O274" s="56"/>
      <c r="P274" s="56"/>
      <c r="Q274" s="56"/>
      <c r="R274" s="57"/>
      <c r="S274" s="60"/>
      <c r="T274" s="61"/>
      <c r="U274" s="62"/>
      <c r="V274" s="63"/>
      <c r="W274" s="63"/>
      <c r="X274" s="77" t="s">
        <v>393</v>
      </c>
    </row>
    <row r="275" spans="1:24" s="42" customFormat="1" ht="15.75" customHeight="1">
      <c r="A275" s="71"/>
      <c r="B275" s="56"/>
      <c r="C275" s="56"/>
      <c r="D275" s="56"/>
      <c r="E275" s="56"/>
      <c r="F275" s="56"/>
      <c r="G275" s="56"/>
      <c r="H275" s="56"/>
      <c r="I275" s="56"/>
      <c r="J275" s="56"/>
      <c r="K275" s="57"/>
      <c r="L275" s="125"/>
      <c r="M275" s="59"/>
      <c r="N275" s="56"/>
      <c r="O275" s="56"/>
      <c r="P275" s="56"/>
      <c r="Q275" s="56"/>
      <c r="R275" s="57"/>
      <c r="S275" s="60"/>
      <c r="T275" s="61"/>
      <c r="U275" s="62"/>
      <c r="V275" s="63"/>
      <c r="W275" s="63"/>
      <c r="X275" s="77" t="s">
        <v>394</v>
      </c>
    </row>
    <row r="276" spans="1:24" s="42" customFormat="1" ht="15.75" customHeight="1">
      <c r="A276" s="71"/>
      <c r="B276" s="56"/>
      <c r="C276" s="56"/>
      <c r="D276" s="56"/>
      <c r="E276" s="56"/>
      <c r="F276" s="56"/>
      <c r="G276" s="56"/>
      <c r="H276" s="56"/>
      <c r="I276" s="56"/>
      <c r="J276" s="56"/>
      <c r="K276" s="57"/>
      <c r="L276" s="125"/>
      <c r="M276" s="59"/>
      <c r="N276" s="56"/>
      <c r="O276" s="56"/>
      <c r="P276" s="56"/>
      <c r="Q276" s="56"/>
      <c r="R276" s="57"/>
      <c r="S276" s="60"/>
      <c r="T276" s="61"/>
      <c r="U276" s="62"/>
      <c r="V276" s="63"/>
      <c r="W276" s="63"/>
      <c r="X276" s="80" t="s">
        <v>395</v>
      </c>
    </row>
    <row r="277" spans="1:24" s="42" customFormat="1" ht="15.75" customHeight="1">
      <c r="A277" s="71"/>
      <c r="B277" s="56"/>
      <c r="C277" s="56"/>
      <c r="D277" s="56"/>
      <c r="E277" s="56"/>
      <c r="F277" s="56"/>
      <c r="G277" s="56"/>
      <c r="H277" s="56"/>
      <c r="I277" s="56"/>
      <c r="J277" s="56"/>
      <c r="K277" s="57"/>
      <c r="L277" s="125"/>
      <c r="M277" s="59"/>
      <c r="N277" s="56"/>
      <c r="O277" s="56"/>
      <c r="P277" s="56"/>
      <c r="Q277" s="56"/>
      <c r="R277" s="57"/>
      <c r="S277" s="60"/>
      <c r="T277" s="61"/>
      <c r="U277" s="62"/>
      <c r="V277" s="63"/>
      <c r="W277" s="63"/>
      <c r="X277" s="80" t="str">
        <f>VLOOKUP(X276,Gyrokopter,$Y$440,FALSE)</f>
        <v>-</v>
      </c>
    </row>
    <row r="278" spans="1:24" s="42" customFormat="1" ht="15.75" customHeight="1">
      <c r="A278" s="71"/>
      <c r="B278" s="56"/>
      <c r="C278" s="56"/>
      <c r="D278" s="56"/>
      <c r="E278" s="56"/>
      <c r="F278" s="56"/>
      <c r="G278" s="56"/>
      <c r="H278" s="56"/>
      <c r="I278" s="56"/>
      <c r="J278" s="56"/>
      <c r="K278" s="57"/>
      <c r="L278" s="125"/>
      <c r="M278" s="59"/>
      <c r="N278" s="56"/>
      <c r="O278" s="56"/>
      <c r="P278" s="56"/>
      <c r="Q278" s="56"/>
      <c r="R278" s="57"/>
      <c r="S278" s="60"/>
      <c r="T278" s="61"/>
      <c r="U278" s="62"/>
      <c r="V278" s="63"/>
      <c r="W278" s="63"/>
      <c r="X278" s="80" t="s">
        <v>263</v>
      </c>
    </row>
    <row r="279" spans="1:24" s="42" customFormat="1" ht="15.75" customHeight="1">
      <c r="A279" s="71"/>
      <c r="B279" s="56"/>
      <c r="C279" s="56"/>
      <c r="D279" s="56"/>
      <c r="E279" s="56"/>
      <c r="F279" s="56"/>
      <c r="G279" s="56"/>
      <c r="H279" s="56"/>
      <c r="I279" s="56"/>
      <c r="J279" s="56"/>
      <c r="K279" s="57"/>
      <c r="L279" s="125"/>
      <c r="M279" s="59"/>
      <c r="N279" s="56"/>
      <c r="O279" s="56"/>
      <c r="P279" s="56"/>
      <c r="Q279" s="56"/>
      <c r="R279" s="57"/>
      <c r="S279" s="60"/>
      <c r="T279" s="61"/>
      <c r="U279" s="62"/>
      <c r="V279" s="63"/>
      <c r="W279" s="63"/>
      <c r="X279" s="73"/>
    </row>
    <row r="280" spans="1:24" s="42" customFormat="1" ht="15.75" customHeight="1">
      <c r="A280" s="71"/>
      <c r="B280" s="56"/>
      <c r="C280" s="56"/>
      <c r="D280" s="56"/>
      <c r="E280" s="56"/>
      <c r="F280" s="56"/>
      <c r="G280" s="56"/>
      <c r="H280" s="56"/>
      <c r="I280" s="56"/>
      <c r="J280" s="56"/>
      <c r="K280" s="57"/>
      <c r="L280" s="125"/>
      <c r="M280" s="59"/>
      <c r="N280" s="56"/>
      <c r="O280" s="56"/>
      <c r="P280" s="56"/>
      <c r="Q280" s="56"/>
      <c r="R280" s="57"/>
      <c r="S280" s="60"/>
      <c r="T280" s="61"/>
      <c r="U280" s="62"/>
      <c r="V280" s="63"/>
      <c r="W280" s="63"/>
      <c r="X280" s="73"/>
    </row>
    <row r="281" spans="1:27" s="42" customFormat="1" ht="25.5" customHeight="1">
      <c r="A281" s="117" t="s">
        <v>191</v>
      </c>
      <c r="B281" s="118" t="s">
        <v>147</v>
      </c>
      <c r="C281" s="119" t="s">
        <v>145</v>
      </c>
      <c r="D281" s="119" t="s">
        <v>253</v>
      </c>
      <c r="E281" s="119" t="s">
        <v>206</v>
      </c>
      <c r="F281" s="119" t="s">
        <v>318</v>
      </c>
      <c r="G281" s="119" t="s">
        <v>146</v>
      </c>
      <c r="H281" s="119" t="s">
        <v>207</v>
      </c>
      <c r="I281" s="119" t="s">
        <v>208</v>
      </c>
      <c r="J281" s="119" t="s">
        <v>209</v>
      </c>
      <c r="K281" s="119" t="s">
        <v>210</v>
      </c>
      <c r="L281" s="120"/>
      <c r="M281" s="186" t="s">
        <v>184</v>
      </c>
      <c r="N281" s="187"/>
      <c r="O281" s="119" t="s">
        <v>311</v>
      </c>
      <c r="P281" s="119" t="s">
        <v>312</v>
      </c>
      <c r="Q281" s="119" t="s">
        <v>103</v>
      </c>
      <c r="R281" s="119" t="s">
        <v>105</v>
      </c>
      <c r="S281" s="121" t="s">
        <v>343</v>
      </c>
      <c r="T281" s="119"/>
      <c r="U281" s="122" t="s">
        <v>104</v>
      </c>
      <c r="V281" s="123" t="s">
        <v>187</v>
      </c>
      <c r="W281" s="124" t="s">
        <v>322</v>
      </c>
      <c r="X281" s="122" t="s">
        <v>410</v>
      </c>
      <c r="Z281" s="93">
        <f>SUM(W239:W265)+SUM(W284:W299)</f>
        <v>0</v>
      </c>
      <c r="AA281" s="93" t="s">
        <v>132</v>
      </c>
    </row>
    <row r="282" spans="1:27" s="42" customFormat="1" ht="15" customHeight="1">
      <c r="A282" s="55"/>
      <c r="B282" s="56"/>
      <c r="C282" s="56"/>
      <c r="D282" s="56"/>
      <c r="E282" s="56"/>
      <c r="F282" s="56"/>
      <c r="G282" s="56"/>
      <c r="H282" s="56"/>
      <c r="I282" s="56"/>
      <c r="J282" s="56"/>
      <c r="K282" s="57"/>
      <c r="L282" s="58"/>
      <c r="M282" s="59"/>
      <c r="N282" s="56"/>
      <c r="O282" s="56"/>
      <c r="P282" s="56"/>
      <c r="Q282" s="56"/>
      <c r="R282" s="57"/>
      <c r="S282" s="60"/>
      <c r="T282" s="61"/>
      <c r="U282" s="62"/>
      <c r="V282" s="63"/>
      <c r="W282" s="63"/>
      <c r="X282" s="70"/>
      <c r="Z282" s="93"/>
      <c r="AA282" s="93"/>
    </row>
    <row r="283" spans="1:27" s="42" customFormat="1" ht="15" customHeight="1">
      <c r="A283" s="71"/>
      <c r="B283" s="56"/>
      <c r="C283" s="56"/>
      <c r="D283" s="56"/>
      <c r="E283" s="56"/>
      <c r="F283" s="56"/>
      <c r="G283" s="56"/>
      <c r="H283" s="56"/>
      <c r="I283" s="56"/>
      <c r="J283" s="56"/>
      <c r="K283" s="57"/>
      <c r="L283" s="58"/>
      <c r="M283" s="59"/>
      <c r="N283" s="56"/>
      <c r="O283" s="56"/>
      <c r="P283" s="56"/>
      <c r="Q283" s="56"/>
      <c r="R283" s="57"/>
      <c r="S283" s="60"/>
      <c r="T283" s="61"/>
      <c r="U283" s="62"/>
      <c r="V283" s="63"/>
      <c r="W283" s="63"/>
      <c r="X283" s="70"/>
      <c r="Z283" s="93"/>
      <c r="AA283" s="93"/>
    </row>
    <row r="284" spans="1:24" s="42" customFormat="1" ht="15.75" customHeight="1">
      <c r="A284" s="71" t="s">
        <v>348</v>
      </c>
      <c r="B284" s="66" t="s">
        <v>142</v>
      </c>
      <c r="C284" s="56">
        <v>3</v>
      </c>
      <c r="D284" s="56" t="s">
        <v>142</v>
      </c>
      <c r="E284" s="56" t="s">
        <v>142</v>
      </c>
      <c r="F284" s="67" t="s">
        <v>266</v>
      </c>
      <c r="G284" s="56">
        <v>7</v>
      </c>
      <c r="H284" s="56">
        <v>3</v>
      </c>
      <c r="I284" s="56" t="s">
        <v>142</v>
      </c>
      <c r="J284" s="56" t="s">
        <v>142</v>
      </c>
      <c r="K284" s="57" t="s">
        <v>142</v>
      </c>
      <c r="L284" s="58"/>
      <c r="M284" s="184">
        <v>48</v>
      </c>
      <c r="N284" s="185"/>
      <c r="O284" s="56"/>
      <c r="P284" s="56"/>
      <c r="Q284" s="56"/>
      <c r="R284" s="57"/>
      <c r="S284" s="60"/>
      <c r="T284" s="61"/>
      <c r="U284" s="62"/>
      <c r="V284" s="109" t="s">
        <v>142</v>
      </c>
      <c r="W284" s="63">
        <f>IF(B284="-",0,B284)*(120+IF(V284="-",0,V284))</f>
        <v>0</v>
      </c>
      <c r="X284" s="70" t="s">
        <v>86</v>
      </c>
    </row>
    <row r="285" spans="1:24" s="42" customFormat="1" ht="15.75" customHeight="1">
      <c r="A285" s="71" t="s">
        <v>317</v>
      </c>
      <c r="B285" s="72" t="str">
        <f>IF(B284="-","-",B284*3)</f>
        <v>-</v>
      </c>
      <c r="C285" s="56">
        <v>3</v>
      </c>
      <c r="D285" s="56">
        <v>4</v>
      </c>
      <c r="E285" s="56">
        <v>3</v>
      </c>
      <c r="F285" s="56">
        <v>3</v>
      </c>
      <c r="G285" s="56">
        <v>4</v>
      </c>
      <c r="H285" s="56">
        <v>1</v>
      </c>
      <c r="I285" s="56">
        <v>2</v>
      </c>
      <c r="J285" s="56">
        <v>1</v>
      </c>
      <c r="K285" s="57">
        <v>9</v>
      </c>
      <c r="L285" s="58"/>
      <c r="M285" s="59"/>
      <c r="N285" s="56"/>
      <c r="O285" s="56">
        <v>1</v>
      </c>
      <c r="P285" s="56" t="s">
        <v>142</v>
      </c>
      <c r="Q285" s="56" t="s">
        <v>113</v>
      </c>
      <c r="R285" s="57" t="s">
        <v>142</v>
      </c>
      <c r="S285" s="60" t="str">
        <f>VLOOKUP(T285,RW,$Z$414,FALSE)</f>
        <v>6+</v>
      </c>
      <c r="T285" s="69">
        <f>VLOOKUP(Q285,Ruestung,$Z$406,FALSE)+IF(R285=1,1,0)</f>
        <v>1</v>
      </c>
      <c r="U285" s="62"/>
      <c r="V285" s="63"/>
      <c r="W285" s="63"/>
      <c r="X285" s="70" t="s">
        <v>245</v>
      </c>
    </row>
    <row r="286" spans="1:24" s="42" customFormat="1" ht="15.75" customHeight="1">
      <c r="A286" s="71" t="s">
        <v>107</v>
      </c>
      <c r="B286" s="72"/>
      <c r="C286" s="56"/>
      <c r="D286" s="56"/>
      <c r="E286" s="56"/>
      <c r="F286" s="56">
        <v>5</v>
      </c>
      <c r="G286" s="56"/>
      <c r="H286" s="56"/>
      <c r="I286" s="56"/>
      <c r="J286" s="56"/>
      <c r="K286" s="57"/>
      <c r="L286" s="58"/>
      <c r="M286" s="184">
        <v>12</v>
      </c>
      <c r="N286" s="185"/>
      <c r="O286" s="56"/>
      <c r="P286" s="56"/>
      <c r="Q286" s="56"/>
      <c r="R286" s="57"/>
      <c r="S286" s="60"/>
      <c r="T286" s="164"/>
      <c r="U286" s="62"/>
      <c r="V286" s="63"/>
      <c r="W286" s="63"/>
      <c r="X286" s="70" t="s">
        <v>85</v>
      </c>
    </row>
    <row r="287" spans="1:24" s="42" customFormat="1" ht="15.75" customHeight="1">
      <c r="A287" s="71"/>
      <c r="B287" s="56"/>
      <c r="C287" s="56"/>
      <c r="D287" s="56"/>
      <c r="E287" s="56"/>
      <c r="F287" s="56"/>
      <c r="G287" s="56"/>
      <c r="H287" s="56"/>
      <c r="I287" s="56"/>
      <c r="J287" s="56"/>
      <c r="K287" s="57"/>
      <c r="L287" s="58"/>
      <c r="M287" s="59"/>
      <c r="N287" s="56"/>
      <c r="O287" s="56"/>
      <c r="P287" s="56"/>
      <c r="Q287" s="56"/>
      <c r="R287" s="57"/>
      <c r="S287" s="60"/>
      <c r="T287" s="61"/>
      <c r="U287" s="62"/>
      <c r="V287" s="63"/>
      <c r="W287" s="63"/>
      <c r="X287" s="73"/>
    </row>
    <row r="288" spans="1:24" s="42" customFormat="1" ht="15.75" customHeight="1">
      <c r="A288" s="71"/>
      <c r="B288" s="56"/>
      <c r="C288" s="56"/>
      <c r="D288" s="56"/>
      <c r="E288" s="56"/>
      <c r="F288" s="56"/>
      <c r="G288" s="56"/>
      <c r="H288" s="56"/>
      <c r="I288" s="56"/>
      <c r="J288" s="56"/>
      <c r="K288" s="57"/>
      <c r="L288" s="58"/>
      <c r="M288" s="61"/>
      <c r="N288" s="59"/>
      <c r="O288" s="56"/>
      <c r="P288" s="56"/>
      <c r="Q288" s="56"/>
      <c r="R288" s="57"/>
      <c r="S288" s="60"/>
      <c r="T288" s="61"/>
      <c r="U288" s="62"/>
      <c r="V288" s="63"/>
      <c r="W288" s="63"/>
      <c r="X288" s="73"/>
    </row>
    <row r="289" spans="1:24" s="42" customFormat="1" ht="15.75" customHeight="1">
      <c r="A289" s="71" t="s">
        <v>293</v>
      </c>
      <c r="B289" s="66" t="s">
        <v>142</v>
      </c>
      <c r="C289" s="56">
        <v>3</v>
      </c>
      <c r="D289" s="56" t="s">
        <v>142</v>
      </c>
      <c r="E289" s="56" t="s">
        <v>142</v>
      </c>
      <c r="F289" s="67" t="s">
        <v>229</v>
      </c>
      <c r="G289" s="56">
        <v>7</v>
      </c>
      <c r="H289" s="56">
        <v>3</v>
      </c>
      <c r="I289" s="56" t="s">
        <v>142</v>
      </c>
      <c r="J289" s="56" t="s">
        <v>142</v>
      </c>
      <c r="K289" s="57" t="s">
        <v>142</v>
      </c>
      <c r="L289" s="58"/>
      <c r="M289" s="184">
        <v>48</v>
      </c>
      <c r="N289" s="185"/>
      <c r="O289" s="56"/>
      <c r="P289" s="56"/>
      <c r="Q289" s="56"/>
      <c r="R289" s="57"/>
      <c r="S289" s="60"/>
      <c r="T289" s="61"/>
      <c r="U289" s="62"/>
      <c r="V289" s="109" t="s">
        <v>142</v>
      </c>
      <c r="W289" s="63">
        <f>IF(B289="-",0,B289)*(55+IF(V289="-",0,V289))</f>
        <v>0</v>
      </c>
      <c r="X289" s="70" t="s">
        <v>87</v>
      </c>
    </row>
    <row r="290" spans="1:24" s="42" customFormat="1" ht="15.75" customHeight="1">
      <c r="A290" s="71" t="s">
        <v>317</v>
      </c>
      <c r="B290" s="72" t="str">
        <f>IF(B289="-","-",B289*3)</f>
        <v>-</v>
      </c>
      <c r="C290" s="56">
        <v>3</v>
      </c>
      <c r="D290" s="56">
        <v>4</v>
      </c>
      <c r="E290" s="56">
        <v>3</v>
      </c>
      <c r="F290" s="56">
        <v>3</v>
      </c>
      <c r="G290" s="56">
        <v>4</v>
      </c>
      <c r="H290" s="56">
        <v>1</v>
      </c>
      <c r="I290" s="56">
        <v>2</v>
      </c>
      <c r="J290" s="56">
        <v>1</v>
      </c>
      <c r="K290" s="57">
        <v>9</v>
      </c>
      <c r="L290" s="58"/>
      <c r="M290" s="59"/>
      <c r="N290" s="56"/>
      <c r="O290" s="56">
        <v>1</v>
      </c>
      <c r="P290" s="56" t="s">
        <v>142</v>
      </c>
      <c r="Q290" s="56" t="s">
        <v>113</v>
      </c>
      <c r="R290" s="57" t="s">
        <v>142</v>
      </c>
      <c r="S290" s="60" t="str">
        <f>VLOOKUP(T290,RW,$Z$414,FALSE)</f>
        <v>6+</v>
      </c>
      <c r="T290" s="69">
        <f>VLOOKUP(Q290,Ruestung,$Z$406,FALSE)+IF(R290=1,1,0)</f>
        <v>1</v>
      </c>
      <c r="U290" s="62"/>
      <c r="V290" s="63"/>
      <c r="W290" s="63"/>
      <c r="X290" s="73" t="s">
        <v>88</v>
      </c>
    </row>
    <row r="291" spans="1:24" s="42" customFormat="1" ht="15.75" customHeight="1">
      <c r="A291" s="71"/>
      <c r="B291" s="56"/>
      <c r="C291" s="56"/>
      <c r="D291" s="56"/>
      <c r="E291" s="56"/>
      <c r="F291" s="56"/>
      <c r="G291" s="56"/>
      <c r="H291" s="56"/>
      <c r="I291" s="56"/>
      <c r="J291" s="56"/>
      <c r="K291" s="57"/>
      <c r="L291" s="58"/>
      <c r="M291" s="59"/>
      <c r="N291" s="56"/>
      <c r="O291" s="56"/>
      <c r="P291" s="56"/>
      <c r="Q291" s="56"/>
      <c r="R291" s="57"/>
      <c r="S291" s="60"/>
      <c r="T291" s="61"/>
      <c r="U291" s="62"/>
      <c r="V291" s="63"/>
      <c r="W291" s="63"/>
      <c r="X291" s="70" t="s">
        <v>245</v>
      </c>
    </row>
    <row r="292" spans="1:24" s="42" customFormat="1" ht="15.75" customHeight="1">
      <c r="A292" s="71"/>
      <c r="B292" s="56"/>
      <c r="C292" s="56"/>
      <c r="D292" s="56"/>
      <c r="E292" s="56"/>
      <c r="F292" s="56"/>
      <c r="G292" s="56"/>
      <c r="H292" s="56"/>
      <c r="I292" s="56"/>
      <c r="J292" s="56"/>
      <c r="K292" s="57"/>
      <c r="L292" s="58"/>
      <c r="M292" s="59"/>
      <c r="N292" s="56"/>
      <c r="O292" s="56"/>
      <c r="P292" s="56"/>
      <c r="Q292" s="56"/>
      <c r="R292" s="57"/>
      <c r="S292" s="60"/>
      <c r="T292" s="61"/>
      <c r="U292" s="62"/>
      <c r="V292" s="63"/>
      <c r="W292" s="63"/>
      <c r="X292" s="73"/>
    </row>
    <row r="293" spans="1:24" s="42" customFormat="1" ht="15.75" customHeight="1">
      <c r="A293" s="71"/>
      <c r="B293" s="56"/>
      <c r="C293" s="56"/>
      <c r="D293" s="56"/>
      <c r="E293" s="56"/>
      <c r="F293" s="56"/>
      <c r="G293" s="56"/>
      <c r="H293" s="56"/>
      <c r="I293" s="56"/>
      <c r="J293" s="56"/>
      <c r="K293" s="57"/>
      <c r="L293" s="58"/>
      <c r="M293" s="61"/>
      <c r="N293" s="59"/>
      <c r="O293" s="56"/>
      <c r="P293" s="56"/>
      <c r="Q293" s="56"/>
      <c r="R293" s="57"/>
      <c r="S293" s="60"/>
      <c r="T293" s="61"/>
      <c r="U293" s="62"/>
      <c r="V293" s="63"/>
      <c r="W293" s="63"/>
      <c r="X293" s="73"/>
    </row>
    <row r="294" spans="1:24" s="42" customFormat="1" ht="15.75" customHeight="1">
      <c r="A294" s="71" t="s">
        <v>290</v>
      </c>
      <c r="B294" s="66" t="s">
        <v>142</v>
      </c>
      <c r="C294" s="56">
        <v>3</v>
      </c>
      <c r="D294" s="56" t="s">
        <v>142</v>
      </c>
      <c r="E294" s="56" t="s">
        <v>142</v>
      </c>
      <c r="F294" s="67" t="s">
        <v>109</v>
      </c>
      <c r="G294" s="56">
        <v>7</v>
      </c>
      <c r="H294" s="56">
        <v>3</v>
      </c>
      <c r="I294" s="56" t="s">
        <v>142</v>
      </c>
      <c r="J294" s="56" t="s">
        <v>142</v>
      </c>
      <c r="K294" s="57" t="s">
        <v>142</v>
      </c>
      <c r="L294" s="58"/>
      <c r="M294" s="188" t="s">
        <v>108</v>
      </c>
      <c r="N294" s="189"/>
      <c r="O294" s="56"/>
      <c r="P294" s="56"/>
      <c r="Q294" s="56"/>
      <c r="R294" s="57"/>
      <c r="S294" s="60"/>
      <c r="T294" s="61"/>
      <c r="U294" s="62"/>
      <c r="V294" s="109" t="s">
        <v>142</v>
      </c>
      <c r="W294" s="63">
        <f>IF(B294="-",0,B294)*(80+IF(V294="-",0,V294))</f>
        <v>0</v>
      </c>
      <c r="X294" s="70" t="s">
        <v>230</v>
      </c>
    </row>
    <row r="295" spans="1:24" s="42" customFormat="1" ht="15.75" customHeight="1">
      <c r="A295" s="71" t="s">
        <v>317</v>
      </c>
      <c r="B295" s="72" t="str">
        <f>IF(B294="-","-",B294*3)</f>
        <v>-</v>
      </c>
      <c r="C295" s="56">
        <v>3</v>
      </c>
      <c r="D295" s="56">
        <v>4</v>
      </c>
      <c r="E295" s="56">
        <v>3</v>
      </c>
      <c r="F295" s="56">
        <v>3</v>
      </c>
      <c r="G295" s="56">
        <v>4</v>
      </c>
      <c r="H295" s="56">
        <v>1</v>
      </c>
      <c r="I295" s="56">
        <v>2</v>
      </c>
      <c r="J295" s="56">
        <v>1</v>
      </c>
      <c r="K295" s="57">
        <v>9</v>
      </c>
      <c r="L295" s="58"/>
      <c r="M295" s="59"/>
      <c r="N295" s="56"/>
      <c r="O295" s="56">
        <v>1</v>
      </c>
      <c r="P295" s="56" t="s">
        <v>142</v>
      </c>
      <c r="Q295" s="56" t="s">
        <v>113</v>
      </c>
      <c r="R295" s="57" t="s">
        <v>142</v>
      </c>
      <c r="S295" s="60" t="str">
        <f>VLOOKUP(T295,RW,$Z$414,FALSE)</f>
        <v>6+</v>
      </c>
      <c r="T295" s="69">
        <f>VLOOKUP(Q295,Ruestung,$Z$406,FALSE)+IF(R295=1,1,0)</f>
        <v>1</v>
      </c>
      <c r="U295" s="62"/>
      <c r="V295" s="63"/>
      <c r="W295" s="63"/>
      <c r="X295" s="73" t="s">
        <v>231</v>
      </c>
    </row>
    <row r="296" spans="1:24" s="42" customFormat="1" ht="15.75" customHeight="1">
      <c r="A296" s="71"/>
      <c r="B296" s="56"/>
      <c r="C296" s="56"/>
      <c r="D296" s="56"/>
      <c r="E296" s="56"/>
      <c r="F296" s="56"/>
      <c r="G296" s="56"/>
      <c r="H296" s="56"/>
      <c r="I296" s="56"/>
      <c r="J296" s="56"/>
      <c r="K296" s="57"/>
      <c r="L296" s="58"/>
      <c r="M296" s="59"/>
      <c r="N296" s="56"/>
      <c r="O296" s="72"/>
      <c r="P296" s="72"/>
      <c r="Q296" s="72"/>
      <c r="R296" s="57"/>
      <c r="S296" s="60"/>
      <c r="T296" s="69"/>
      <c r="U296" s="62"/>
      <c r="V296" s="112"/>
      <c r="W296" s="112"/>
      <c r="X296" s="73" t="s">
        <v>232</v>
      </c>
    </row>
    <row r="297" spans="1:24" s="42" customFormat="1" ht="15.75" customHeight="1">
      <c r="A297" s="71"/>
      <c r="B297" s="56"/>
      <c r="C297" s="56"/>
      <c r="D297" s="56"/>
      <c r="E297" s="56"/>
      <c r="F297" s="56"/>
      <c r="G297" s="56"/>
      <c r="H297" s="56"/>
      <c r="I297" s="56"/>
      <c r="J297" s="56"/>
      <c r="K297" s="57"/>
      <c r="L297" s="58"/>
      <c r="M297" s="59"/>
      <c r="N297" s="56"/>
      <c r="O297" s="72"/>
      <c r="P297" s="72"/>
      <c r="Q297" s="72"/>
      <c r="R297" s="57"/>
      <c r="S297" s="60"/>
      <c r="T297" s="69"/>
      <c r="U297" s="62"/>
      <c r="V297" s="112"/>
      <c r="W297" s="112"/>
      <c r="X297" s="70" t="s">
        <v>245</v>
      </c>
    </row>
    <row r="298" spans="1:24" s="42" customFormat="1" ht="15.75" customHeight="1">
      <c r="A298" s="71"/>
      <c r="B298" s="56"/>
      <c r="C298" s="56"/>
      <c r="D298" s="56"/>
      <c r="E298" s="56"/>
      <c r="F298" s="56"/>
      <c r="G298" s="56"/>
      <c r="H298" s="56"/>
      <c r="I298" s="56"/>
      <c r="J298" s="56"/>
      <c r="K298" s="57"/>
      <c r="L298" s="58"/>
      <c r="M298" s="59"/>
      <c r="N298" s="56"/>
      <c r="O298" s="72"/>
      <c r="P298" s="72"/>
      <c r="Q298" s="72"/>
      <c r="R298" s="57"/>
      <c r="S298" s="60"/>
      <c r="T298" s="69"/>
      <c r="U298" s="62"/>
      <c r="V298" s="112"/>
      <c r="W298" s="112"/>
      <c r="X298" s="73"/>
    </row>
    <row r="299" spans="1:24" s="42" customFormat="1" ht="15.75" customHeight="1">
      <c r="A299" s="71"/>
      <c r="B299" s="72"/>
      <c r="C299" s="56"/>
      <c r="D299" s="56"/>
      <c r="E299" s="56"/>
      <c r="F299" s="56"/>
      <c r="G299" s="56"/>
      <c r="H299" s="56"/>
      <c r="I299" s="56"/>
      <c r="J299" s="56"/>
      <c r="K299" s="57"/>
      <c r="L299" s="58"/>
      <c r="M299" s="59"/>
      <c r="N299" s="56"/>
      <c r="O299" s="56"/>
      <c r="P299" s="56"/>
      <c r="Q299" s="56"/>
      <c r="R299" s="57"/>
      <c r="S299" s="60"/>
      <c r="T299" s="69"/>
      <c r="U299" s="62"/>
      <c r="V299" s="63"/>
      <c r="W299" s="63"/>
      <c r="X299" s="73"/>
    </row>
    <row r="300" spans="1:24" s="42" customFormat="1" ht="25.5" customHeight="1">
      <c r="A300" s="190" t="s">
        <v>79</v>
      </c>
      <c r="B300" s="118" t="s">
        <v>147</v>
      </c>
      <c r="C300" s="119" t="s">
        <v>145</v>
      </c>
      <c r="D300" s="119" t="s">
        <v>253</v>
      </c>
      <c r="E300" s="119" t="s">
        <v>206</v>
      </c>
      <c r="F300" s="119" t="s">
        <v>318</v>
      </c>
      <c r="G300" s="119" t="s">
        <v>146</v>
      </c>
      <c r="H300" s="119" t="s">
        <v>207</v>
      </c>
      <c r="I300" s="119" t="s">
        <v>208</v>
      </c>
      <c r="J300" s="119" t="s">
        <v>209</v>
      </c>
      <c r="K300" s="119" t="s">
        <v>210</v>
      </c>
      <c r="L300" s="120"/>
      <c r="M300" s="119" t="s">
        <v>139</v>
      </c>
      <c r="N300" s="119" t="s">
        <v>140</v>
      </c>
      <c r="O300" s="119" t="s">
        <v>311</v>
      </c>
      <c r="P300" s="119" t="s">
        <v>312</v>
      </c>
      <c r="Q300" s="119" t="s">
        <v>103</v>
      </c>
      <c r="R300" s="119" t="s">
        <v>105</v>
      </c>
      <c r="S300" s="121" t="s">
        <v>343</v>
      </c>
      <c r="T300" s="119"/>
      <c r="U300" s="122" t="s">
        <v>104</v>
      </c>
      <c r="V300" s="123" t="s">
        <v>187</v>
      </c>
      <c r="W300" s="124" t="s">
        <v>322</v>
      </c>
      <c r="X300" s="122" t="s">
        <v>410</v>
      </c>
    </row>
    <row r="301" spans="1:24" s="42" customFormat="1" ht="15" customHeight="1">
      <c r="A301" s="55"/>
      <c r="B301" s="56"/>
      <c r="C301" s="56"/>
      <c r="D301" s="56"/>
      <c r="E301" s="56"/>
      <c r="F301" s="56"/>
      <c r="G301" s="56"/>
      <c r="H301" s="56"/>
      <c r="I301" s="56"/>
      <c r="J301" s="56"/>
      <c r="K301" s="57"/>
      <c r="L301" s="58"/>
      <c r="M301" s="59"/>
      <c r="N301" s="56"/>
      <c r="O301" s="56"/>
      <c r="P301" s="56"/>
      <c r="Q301" s="56"/>
      <c r="R301" s="57"/>
      <c r="S301" s="60"/>
      <c r="T301" s="61"/>
      <c r="U301" s="62"/>
      <c r="V301" s="63"/>
      <c r="W301" s="63"/>
      <c r="X301" s="70"/>
    </row>
    <row r="302" spans="1:24" s="42" customFormat="1" ht="15" customHeight="1">
      <c r="A302" s="55"/>
      <c r="B302" s="56"/>
      <c r="C302" s="56"/>
      <c r="D302" s="56"/>
      <c r="E302" s="56"/>
      <c r="F302" s="56"/>
      <c r="G302" s="56"/>
      <c r="H302" s="56"/>
      <c r="I302" s="56"/>
      <c r="J302" s="56"/>
      <c r="K302" s="57"/>
      <c r="L302" s="58"/>
      <c r="M302" s="59"/>
      <c r="N302" s="56"/>
      <c r="O302" s="56"/>
      <c r="P302" s="56"/>
      <c r="Q302" s="56"/>
      <c r="R302" s="57"/>
      <c r="S302" s="60"/>
      <c r="T302" s="61"/>
      <c r="U302" s="62"/>
      <c r="V302" s="63"/>
      <c r="W302" s="63"/>
      <c r="X302" s="70"/>
    </row>
    <row r="303" spans="1:24" s="42" customFormat="1" ht="15" customHeight="1">
      <c r="A303" s="71" t="s">
        <v>279</v>
      </c>
      <c r="B303" s="66" t="s">
        <v>142</v>
      </c>
      <c r="C303" s="56">
        <v>3</v>
      </c>
      <c r="D303" s="56">
        <v>4</v>
      </c>
      <c r="E303" s="56">
        <v>3</v>
      </c>
      <c r="F303" s="67" t="s">
        <v>407</v>
      </c>
      <c r="G303" s="56">
        <v>4</v>
      </c>
      <c r="H303" s="56">
        <v>1</v>
      </c>
      <c r="I303" s="56">
        <v>2</v>
      </c>
      <c r="J303" s="56">
        <v>1</v>
      </c>
      <c r="K303" s="57">
        <v>9</v>
      </c>
      <c r="L303" s="125"/>
      <c r="M303" s="181" t="s">
        <v>142</v>
      </c>
      <c r="N303" s="66" t="s">
        <v>142</v>
      </c>
      <c r="O303" s="56" t="s">
        <v>142</v>
      </c>
      <c r="P303" s="56">
        <v>1</v>
      </c>
      <c r="Q303" s="56" t="s">
        <v>318</v>
      </c>
      <c r="R303" s="108" t="s">
        <v>142</v>
      </c>
      <c r="S303" s="60" t="str">
        <f>VLOOKUP(T303,RW,$Z$414,FALSE)</f>
        <v>5+</v>
      </c>
      <c r="T303" s="69">
        <f>VLOOKUP(Q303,Ruestung,$Z$406,FALSE)+IF(R303=1,1,0)</f>
        <v>2</v>
      </c>
      <c r="U303" s="62"/>
      <c r="V303" s="63"/>
      <c r="W303" s="63">
        <f>(IF(B303="-",0,B303)*(14+IF(R303=1,1,0)))+IF(M303="-",0,M303*10)+IF(N303="-",0,N303*10)</f>
        <v>0</v>
      </c>
      <c r="X303" s="76" t="s">
        <v>198</v>
      </c>
    </row>
    <row r="304" spans="1:24" s="42" customFormat="1" ht="15" customHeight="1">
      <c r="A304" s="71" t="s">
        <v>406</v>
      </c>
      <c r="B304" s="66" t="s">
        <v>142</v>
      </c>
      <c r="C304" s="56">
        <v>3</v>
      </c>
      <c r="D304" s="56">
        <v>4</v>
      </c>
      <c r="E304" s="56">
        <v>4</v>
      </c>
      <c r="F304" s="67" t="s">
        <v>407</v>
      </c>
      <c r="G304" s="56">
        <v>4</v>
      </c>
      <c r="H304" s="56">
        <v>1</v>
      </c>
      <c r="I304" s="56">
        <v>2</v>
      </c>
      <c r="J304" s="56">
        <v>2</v>
      </c>
      <c r="K304" s="57">
        <v>9</v>
      </c>
      <c r="L304" s="125"/>
      <c r="M304" s="59"/>
      <c r="N304" s="56"/>
      <c r="O304" s="56" t="s">
        <v>142</v>
      </c>
      <c r="P304" s="56">
        <v>1</v>
      </c>
      <c r="Q304" s="56" t="s">
        <v>318</v>
      </c>
      <c r="R304" s="167" t="str">
        <f>R303</f>
        <v>-</v>
      </c>
      <c r="S304" s="60" t="str">
        <f>VLOOKUP(T304,RW,$Z$414,FALSE)</f>
        <v>5+</v>
      </c>
      <c r="T304" s="69">
        <f>VLOOKUP(Q304,Ruestung,$Z$406,FALSE)+IF(R304=1,1,0)</f>
        <v>2</v>
      </c>
      <c r="U304" s="62"/>
      <c r="V304" s="63"/>
      <c r="W304" s="112">
        <f>IF(B304="-",0,B304)*(24+IF(R304=1,1,0))</f>
        <v>0</v>
      </c>
      <c r="X304" s="116" t="s">
        <v>256</v>
      </c>
    </row>
    <row r="305" spans="1:24" s="42" customFormat="1" ht="15" customHeight="1">
      <c r="A305" s="71"/>
      <c r="B305" s="56"/>
      <c r="C305" s="56"/>
      <c r="D305" s="56"/>
      <c r="E305" s="56"/>
      <c r="F305" s="56"/>
      <c r="G305" s="56"/>
      <c r="H305" s="56"/>
      <c r="I305" s="56"/>
      <c r="J305" s="56"/>
      <c r="K305" s="57"/>
      <c r="L305" s="58"/>
      <c r="M305" s="59"/>
      <c r="N305" s="56"/>
      <c r="O305" s="56"/>
      <c r="P305" s="56"/>
      <c r="Q305" s="56"/>
      <c r="R305" s="57"/>
      <c r="S305" s="60"/>
      <c r="T305" s="61"/>
      <c r="U305" s="62"/>
      <c r="V305" s="63"/>
      <c r="W305" s="63"/>
      <c r="X305" s="76" t="s">
        <v>257</v>
      </c>
    </row>
    <row r="306" spans="1:24" s="42" customFormat="1" ht="15" customHeight="1">
      <c r="A306" s="71"/>
      <c r="B306" s="56"/>
      <c r="C306" s="56"/>
      <c r="D306" s="56"/>
      <c r="E306" s="56"/>
      <c r="F306" s="56"/>
      <c r="G306" s="56"/>
      <c r="H306" s="56"/>
      <c r="I306" s="56"/>
      <c r="J306" s="56"/>
      <c r="K306" s="57"/>
      <c r="L306" s="58"/>
      <c r="M306" s="59"/>
      <c r="N306" s="56"/>
      <c r="O306" s="56"/>
      <c r="P306" s="56"/>
      <c r="Q306" s="56"/>
      <c r="R306" s="57"/>
      <c r="S306" s="60"/>
      <c r="T306" s="61"/>
      <c r="U306" s="62"/>
      <c r="V306" s="63"/>
      <c r="W306" s="63"/>
      <c r="X306" s="73" t="s">
        <v>327</v>
      </c>
    </row>
    <row r="307" spans="1:24" s="42" customFormat="1" ht="15" customHeight="1">
      <c r="A307" s="71"/>
      <c r="B307" s="56"/>
      <c r="C307" s="56"/>
      <c r="D307" s="56"/>
      <c r="E307" s="56"/>
      <c r="F307" s="56"/>
      <c r="G307" s="56"/>
      <c r="H307" s="56"/>
      <c r="I307" s="56"/>
      <c r="J307" s="56"/>
      <c r="K307" s="57"/>
      <c r="L307" s="58"/>
      <c r="M307" s="59"/>
      <c r="N307" s="56"/>
      <c r="O307" s="56"/>
      <c r="P307" s="56"/>
      <c r="Q307" s="56"/>
      <c r="R307" s="57"/>
      <c r="S307" s="60"/>
      <c r="T307" s="61"/>
      <c r="U307" s="62"/>
      <c r="V307" s="63"/>
      <c r="W307" s="63"/>
      <c r="X307" s="76" t="s">
        <v>408</v>
      </c>
    </row>
    <row r="308" spans="1:24" s="42" customFormat="1" ht="15" customHeight="1">
      <c r="A308" s="71"/>
      <c r="B308" s="56"/>
      <c r="C308" s="56"/>
      <c r="D308" s="56"/>
      <c r="E308" s="56"/>
      <c r="F308" s="56"/>
      <c r="G308" s="56"/>
      <c r="H308" s="56"/>
      <c r="I308" s="56"/>
      <c r="J308" s="56"/>
      <c r="K308" s="57"/>
      <c r="L308" s="58"/>
      <c r="M308" s="59"/>
      <c r="N308" s="56"/>
      <c r="O308" s="56"/>
      <c r="P308" s="56"/>
      <c r="Q308" s="56"/>
      <c r="R308" s="57"/>
      <c r="S308" s="60"/>
      <c r="T308" s="61"/>
      <c r="U308" s="62"/>
      <c r="V308" s="63"/>
      <c r="W308" s="63"/>
      <c r="X308" s="73" t="s">
        <v>409</v>
      </c>
    </row>
    <row r="309" spans="1:24" s="42" customFormat="1" ht="15" customHeight="1">
      <c r="A309" s="71"/>
      <c r="B309" s="56"/>
      <c r="C309" s="56"/>
      <c r="D309" s="56"/>
      <c r="E309" s="56"/>
      <c r="F309" s="56"/>
      <c r="G309" s="56"/>
      <c r="H309" s="56"/>
      <c r="I309" s="56"/>
      <c r="J309" s="56"/>
      <c r="K309" s="57"/>
      <c r="L309" s="58"/>
      <c r="M309" s="59"/>
      <c r="N309" s="56"/>
      <c r="O309" s="56"/>
      <c r="P309" s="56"/>
      <c r="Q309" s="56"/>
      <c r="R309" s="57"/>
      <c r="S309" s="60"/>
      <c r="T309" s="61"/>
      <c r="U309" s="62"/>
      <c r="V309" s="63"/>
      <c r="W309" s="63"/>
      <c r="X309" s="73"/>
    </row>
    <row r="310" spans="1:24" s="42" customFormat="1" ht="15" customHeight="1">
      <c r="A310" s="71"/>
      <c r="B310" s="56"/>
      <c r="C310" s="56"/>
      <c r="D310" s="56"/>
      <c r="E310" s="56"/>
      <c r="F310" s="56"/>
      <c r="G310" s="56"/>
      <c r="H310" s="56"/>
      <c r="I310" s="56"/>
      <c r="J310" s="56"/>
      <c r="K310" s="57"/>
      <c r="L310" s="58"/>
      <c r="M310" s="59"/>
      <c r="N310" s="56"/>
      <c r="O310" s="56"/>
      <c r="P310" s="56"/>
      <c r="Q310" s="56"/>
      <c r="R310" s="57"/>
      <c r="S310" s="60"/>
      <c r="T310" s="61"/>
      <c r="U310" s="62"/>
      <c r="V310" s="63"/>
      <c r="W310" s="63"/>
      <c r="X310" s="73"/>
    </row>
    <row r="311" spans="1:24" s="42" customFormat="1" ht="15" customHeight="1">
      <c r="A311" s="71" t="s">
        <v>233</v>
      </c>
      <c r="B311" s="66" t="s">
        <v>142</v>
      </c>
      <c r="C311" s="56">
        <v>3</v>
      </c>
      <c r="D311" s="56">
        <v>5</v>
      </c>
      <c r="E311" s="56">
        <v>4</v>
      </c>
      <c r="F311" s="67" t="s">
        <v>383</v>
      </c>
      <c r="G311" s="56">
        <v>4</v>
      </c>
      <c r="H311" s="56">
        <v>1</v>
      </c>
      <c r="I311" s="56">
        <v>2</v>
      </c>
      <c r="J311" s="56">
        <v>1</v>
      </c>
      <c r="K311" s="57">
        <v>9</v>
      </c>
      <c r="L311" s="125"/>
      <c r="M311" s="181" t="s">
        <v>142</v>
      </c>
      <c r="N311" s="66" t="s">
        <v>142</v>
      </c>
      <c r="O311" s="56" t="s">
        <v>142</v>
      </c>
      <c r="P311" s="56">
        <v>1</v>
      </c>
      <c r="Q311" s="56" t="s">
        <v>318</v>
      </c>
      <c r="R311" s="108" t="s">
        <v>142</v>
      </c>
      <c r="S311" s="60" t="str">
        <f>VLOOKUP(T311,RW,$Z$414,FALSE)</f>
        <v>5+</v>
      </c>
      <c r="T311" s="69">
        <f>VLOOKUP(Q311,Ruestung,$Z$406,FALSE)+IF(R311=1,1,0)</f>
        <v>2</v>
      </c>
      <c r="U311" s="62"/>
      <c r="V311" s="63"/>
      <c r="W311" s="63">
        <f>(IF(B311="-",0,B311)*(17+IF(R311=1,1,0)))+IF(M311="-",0,M311*10)+IF(N311="-",0,N311*10)</f>
        <v>0</v>
      </c>
      <c r="X311" s="76" t="s">
        <v>198</v>
      </c>
    </row>
    <row r="312" spans="1:24" s="42" customFormat="1" ht="15" customHeight="1">
      <c r="A312" s="71" t="s">
        <v>406</v>
      </c>
      <c r="B312" s="66" t="s">
        <v>142</v>
      </c>
      <c r="C312" s="56">
        <v>3</v>
      </c>
      <c r="D312" s="56">
        <v>5</v>
      </c>
      <c r="E312" s="56">
        <v>4</v>
      </c>
      <c r="F312" s="67" t="s">
        <v>383</v>
      </c>
      <c r="G312" s="56">
        <v>4</v>
      </c>
      <c r="H312" s="56">
        <v>1</v>
      </c>
      <c r="I312" s="56">
        <v>2</v>
      </c>
      <c r="J312" s="56">
        <v>2</v>
      </c>
      <c r="K312" s="57">
        <v>9</v>
      </c>
      <c r="L312" s="125"/>
      <c r="M312" s="59"/>
      <c r="N312" s="56"/>
      <c r="O312" s="56" t="s">
        <v>142</v>
      </c>
      <c r="P312" s="56">
        <v>1</v>
      </c>
      <c r="Q312" s="56" t="s">
        <v>318</v>
      </c>
      <c r="R312" s="167" t="str">
        <f>R311</f>
        <v>-</v>
      </c>
      <c r="S312" s="60" t="str">
        <f>VLOOKUP(T312,RW,$Z$414,FALSE)</f>
        <v>5+</v>
      </c>
      <c r="T312" s="69">
        <f>VLOOKUP(Q312,Ruestung,$Z$406,FALSE)+IF(R312=1,1,0)</f>
        <v>2</v>
      </c>
      <c r="U312" s="62"/>
      <c r="V312" s="63"/>
      <c r="W312" s="112">
        <f>IF(B312="-",0,B312)*(27+IF(R312=1,1,0))</f>
        <v>0</v>
      </c>
      <c r="X312" s="116" t="s">
        <v>256</v>
      </c>
    </row>
    <row r="313" spans="1:24" s="42" customFormat="1" ht="15" customHeight="1">
      <c r="A313" s="71"/>
      <c r="B313" s="56"/>
      <c r="C313" s="56"/>
      <c r="D313" s="56"/>
      <c r="E313" s="56"/>
      <c r="F313" s="56"/>
      <c r="G313" s="56"/>
      <c r="H313" s="56"/>
      <c r="I313" s="56"/>
      <c r="J313" s="56"/>
      <c r="K313" s="57"/>
      <c r="L313" s="58"/>
      <c r="M313" s="59"/>
      <c r="N313" s="56"/>
      <c r="O313" s="56"/>
      <c r="P313" s="56"/>
      <c r="Q313" s="56"/>
      <c r="R313" s="57"/>
      <c r="S313" s="60"/>
      <c r="T313" s="61"/>
      <c r="U313" s="62"/>
      <c r="V313" s="63"/>
      <c r="W313" s="63"/>
      <c r="X313" s="76" t="s">
        <v>257</v>
      </c>
    </row>
    <row r="314" spans="1:24" s="42" customFormat="1" ht="15" customHeight="1">
      <c r="A314" s="71"/>
      <c r="B314" s="56"/>
      <c r="C314" s="56"/>
      <c r="D314" s="56"/>
      <c r="E314" s="56"/>
      <c r="F314" s="56"/>
      <c r="G314" s="56"/>
      <c r="H314" s="56"/>
      <c r="I314" s="56"/>
      <c r="J314" s="56"/>
      <c r="K314" s="57"/>
      <c r="L314" s="58"/>
      <c r="M314" s="59"/>
      <c r="N314" s="56"/>
      <c r="O314" s="56"/>
      <c r="P314" s="56"/>
      <c r="Q314" s="56"/>
      <c r="R314" s="57"/>
      <c r="S314" s="60"/>
      <c r="T314" s="61"/>
      <c r="U314" s="62"/>
      <c r="V314" s="63"/>
      <c r="W314" s="63"/>
      <c r="X314" s="73" t="s">
        <v>327</v>
      </c>
    </row>
    <row r="315" spans="1:24" s="42" customFormat="1" ht="15" customHeight="1">
      <c r="A315" s="71"/>
      <c r="B315" s="56"/>
      <c r="C315" s="56"/>
      <c r="D315" s="56"/>
      <c r="E315" s="56"/>
      <c r="F315" s="56"/>
      <c r="G315" s="56"/>
      <c r="H315" s="56"/>
      <c r="I315" s="56"/>
      <c r="J315" s="56"/>
      <c r="K315" s="57"/>
      <c r="L315" s="58"/>
      <c r="M315" s="59"/>
      <c r="N315" s="56"/>
      <c r="O315" s="56"/>
      <c r="P315" s="56"/>
      <c r="Q315" s="56"/>
      <c r="R315" s="57"/>
      <c r="S315" s="60"/>
      <c r="T315" s="61"/>
      <c r="U315" s="62"/>
      <c r="V315" s="63"/>
      <c r="W315" s="63"/>
      <c r="X315" s="76" t="s">
        <v>408</v>
      </c>
    </row>
    <row r="316" spans="1:24" s="42" customFormat="1" ht="15" customHeight="1">
      <c r="A316" s="71"/>
      <c r="B316" s="56"/>
      <c r="C316" s="56"/>
      <c r="D316" s="56"/>
      <c r="E316" s="56"/>
      <c r="F316" s="56"/>
      <c r="G316" s="56"/>
      <c r="H316" s="56"/>
      <c r="I316" s="56"/>
      <c r="J316" s="56"/>
      <c r="K316" s="57"/>
      <c r="L316" s="58"/>
      <c r="M316" s="59"/>
      <c r="N316" s="56"/>
      <c r="O316" s="56"/>
      <c r="P316" s="56"/>
      <c r="Q316" s="56"/>
      <c r="R316" s="57"/>
      <c r="S316" s="60"/>
      <c r="T316" s="61"/>
      <c r="U316" s="62"/>
      <c r="V316" s="63"/>
      <c r="W316" s="63"/>
      <c r="X316" s="73" t="s">
        <v>409</v>
      </c>
    </row>
    <row r="317" spans="1:24" s="42" customFormat="1" ht="15" customHeight="1">
      <c r="A317" s="71"/>
      <c r="B317" s="56"/>
      <c r="C317" s="56"/>
      <c r="D317" s="56"/>
      <c r="E317" s="56"/>
      <c r="F317" s="56"/>
      <c r="G317" s="56"/>
      <c r="H317" s="56"/>
      <c r="I317" s="56"/>
      <c r="J317" s="56"/>
      <c r="K317" s="57"/>
      <c r="L317" s="58"/>
      <c r="M317" s="59"/>
      <c r="N317" s="56"/>
      <c r="O317" s="56"/>
      <c r="P317" s="56"/>
      <c r="Q317" s="56"/>
      <c r="R317" s="57"/>
      <c r="S317" s="60"/>
      <c r="T317" s="61"/>
      <c r="U317" s="62"/>
      <c r="V317" s="63"/>
      <c r="W317" s="63"/>
      <c r="X317" s="73"/>
    </row>
    <row r="318" spans="1:24" s="42" customFormat="1" ht="15" customHeight="1">
      <c r="A318" s="71"/>
      <c r="B318" s="56"/>
      <c r="C318" s="56"/>
      <c r="D318" s="56"/>
      <c r="E318" s="56"/>
      <c r="F318" s="56"/>
      <c r="G318" s="56"/>
      <c r="H318" s="56"/>
      <c r="I318" s="56"/>
      <c r="J318" s="56"/>
      <c r="K318" s="57"/>
      <c r="L318" s="58"/>
      <c r="M318" s="59"/>
      <c r="N318" s="56"/>
      <c r="O318" s="56"/>
      <c r="P318" s="56"/>
      <c r="Q318" s="56"/>
      <c r="R318" s="57"/>
      <c r="S318" s="60"/>
      <c r="T318" s="61"/>
      <c r="U318" s="62"/>
      <c r="V318" s="63"/>
      <c r="W318" s="63"/>
      <c r="X318" s="73"/>
    </row>
    <row r="319" spans="1:24" s="42" customFormat="1" ht="15" customHeight="1">
      <c r="A319" s="55" t="s">
        <v>356</v>
      </c>
      <c r="B319" s="66" t="s">
        <v>142</v>
      </c>
      <c r="C319" s="56">
        <v>3</v>
      </c>
      <c r="D319" s="56">
        <v>5</v>
      </c>
      <c r="E319" s="56">
        <v>3</v>
      </c>
      <c r="F319" s="67" t="s">
        <v>123</v>
      </c>
      <c r="G319" s="56">
        <v>4</v>
      </c>
      <c r="H319" s="56">
        <v>1</v>
      </c>
      <c r="I319" s="56">
        <v>2</v>
      </c>
      <c r="J319" s="56">
        <v>1</v>
      </c>
      <c r="K319" s="57">
        <v>10</v>
      </c>
      <c r="L319" s="125"/>
      <c r="M319" s="181" t="s">
        <v>142</v>
      </c>
      <c r="N319" s="66" t="s">
        <v>142</v>
      </c>
      <c r="O319" s="56">
        <v>1</v>
      </c>
      <c r="P319" s="56" t="s">
        <v>142</v>
      </c>
      <c r="Q319" s="56" t="s">
        <v>114</v>
      </c>
      <c r="R319" s="56" t="s">
        <v>142</v>
      </c>
      <c r="S319" s="60" t="str">
        <f>VLOOKUP(T319,RW,$Z$414,FALSE)</f>
        <v>4+</v>
      </c>
      <c r="T319" s="69">
        <f>VLOOKUP(Q319,Ruestung,$Z$406,FALSE)+IF(R319=1,1,0)</f>
        <v>3</v>
      </c>
      <c r="U319" s="62" t="s">
        <v>197</v>
      </c>
      <c r="V319" s="109" t="s">
        <v>142</v>
      </c>
      <c r="W319" s="63">
        <f>(IF(B319="-",0,B319)*15)+IF(M319="-",0,M319*10)+IF(N319="-",0,N319*10)+IF(V319="-",0,V319)</f>
        <v>0</v>
      </c>
      <c r="X319" s="76" t="s">
        <v>198</v>
      </c>
    </row>
    <row r="320" spans="1:24" s="42" customFormat="1" ht="15" customHeight="1">
      <c r="A320" s="65" t="s">
        <v>370</v>
      </c>
      <c r="B320" s="66" t="s">
        <v>142</v>
      </c>
      <c r="C320" s="56">
        <v>3</v>
      </c>
      <c r="D320" s="56">
        <v>5</v>
      </c>
      <c r="E320" s="56">
        <v>4</v>
      </c>
      <c r="F320" s="67" t="s">
        <v>123</v>
      </c>
      <c r="G320" s="56">
        <v>4</v>
      </c>
      <c r="H320" s="56">
        <v>1</v>
      </c>
      <c r="I320" s="56">
        <v>2</v>
      </c>
      <c r="J320" s="67" t="s">
        <v>226</v>
      </c>
      <c r="K320" s="57">
        <v>10</v>
      </c>
      <c r="L320" s="125"/>
      <c r="M320" s="59"/>
      <c r="N320" s="56"/>
      <c r="O320" s="56">
        <f>O319</f>
        <v>1</v>
      </c>
      <c r="P320" s="56" t="str">
        <f>P319</f>
        <v>-</v>
      </c>
      <c r="Q320" s="56" t="str">
        <f>Q319</f>
        <v>G</v>
      </c>
      <c r="R320" s="57" t="str">
        <f>R319</f>
        <v>-</v>
      </c>
      <c r="S320" s="60" t="str">
        <f>VLOOKUP(T320,RW,$Z$414,FALSE)</f>
        <v>4+</v>
      </c>
      <c r="T320" s="69">
        <f>VLOOKUP(Q320,Ruestung,$Z$406,FALSE)+IF(R320=1,1,0)</f>
        <v>3</v>
      </c>
      <c r="U320" s="62" t="s">
        <v>197</v>
      </c>
      <c r="V320" s="63"/>
      <c r="W320" s="63">
        <f>IF(B320="-",0,B320)*(25+VLOOKUP(X325,Eisendrachen,$Z$428,FALSE)+VLOOKUP(X328,Eisendrachen,$Z$428,FALSE))</f>
        <v>0</v>
      </c>
      <c r="X320" s="76" t="s">
        <v>371</v>
      </c>
    </row>
    <row r="321" spans="1:24" s="42" customFormat="1" ht="15" customHeight="1">
      <c r="A321" s="136"/>
      <c r="B321" s="137"/>
      <c r="C321" s="137"/>
      <c r="D321" s="137"/>
      <c r="E321" s="137"/>
      <c r="F321" s="137"/>
      <c r="G321" s="137"/>
      <c r="H321" s="137"/>
      <c r="I321" s="137"/>
      <c r="J321" s="137"/>
      <c r="K321" s="138"/>
      <c r="L321" s="191"/>
      <c r="M321" s="140"/>
      <c r="N321" s="137"/>
      <c r="O321" s="137"/>
      <c r="P321" s="137"/>
      <c r="Q321" s="137"/>
      <c r="R321" s="138"/>
      <c r="S321" s="141"/>
      <c r="T321" s="142"/>
      <c r="U321" s="143"/>
      <c r="V321" s="144"/>
      <c r="W321" s="144"/>
      <c r="X321" s="73" t="s">
        <v>205</v>
      </c>
    </row>
    <row r="322" spans="1:24" s="42" customFormat="1" ht="15" customHeight="1">
      <c r="A322" s="136"/>
      <c r="B322" s="137"/>
      <c r="C322" s="137"/>
      <c r="D322" s="137"/>
      <c r="E322" s="137"/>
      <c r="F322" s="137"/>
      <c r="G322" s="137"/>
      <c r="H322" s="137"/>
      <c r="I322" s="137"/>
      <c r="J322" s="137"/>
      <c r="K322" s="138"/>
      <c r="L322" s="191"/>
      <c r="M322" s="140"/>
      <c r="N322" s="137"/>
      <c r="O322" s="137"/>
      <c r="P322" s="137"/>
      <c r="Q322" s="137"/>
      <c r="R322" s="138"/>
      <c r="S322" s="141"/>
      <c r="T322" s="142"/>
      <c r="U322" s="143"/>
      <c r="V322" s="144"/>
      <c r="W322" s="144"/>
      <c r="X322" s="73" t="s">
        <v>372</v>
      </c>
    </row>
    <row r="323" spans="1:24" s="42" customFormat="1" ht="15" customHeight="1">
      <c r="A323" s="136"/>
      <c r="B323" s="137"/>
      <c r="C323" s="137"/>
      <c r="D323" s="137"/>
      <c r="E323" s="137"/>
      <c r="F323" s="137"/>
      <c r="G323" s="137"/>
      <c r="H323" s="137"/>
      <c r="I323" s="137"/>
      <c r="J323" s="137"/>
      <c r="K323" s="138"/>
      <c r="L323" s="191"/>
      <c r="M323" s="140"/>
      <c r="N323" s="137"/>
      <c r="O323" s="137"/>
      <c r="P323" s="137"/>
      <c r="Q323" s="137"/>
      <c r="R323" s="138"/>
      <c r="S323" s="141"/>
      <c r="T323" s="142"/>
      <c r="U323" s="143"/>
      <c r="V323" s="144"/>
      <c r="W323" s="144"/>
      <c r="X323" s="76" t="s">
        <v>199</v>
      </c>
    </row>
    <row r="324" spans="1:24" s="42" customFormat="1" ht="15" customHeight="1">
      <c r="A324" s="136"/>
      <c r="B324" s="137"/>
      <c r="C324" s="137"/>
      <c r="D324" s="137"/>
      <c r="E324" s="137"/>
      <c r="F324" s="137"/>
      <c r="G324" s="137"/>
      <c r="H324" s="137"/>
      <c r="I324" s="137"/>
      <c r="J324" s="137"/>
      <c r="K324" s="138"/>
      <c r="L324" s="191"/>
      <c r="M324" s="140"/>
      <c r="N324" s="137"/>
      <c r="O324" s="137"/>
      <c r="P324" s="137"/>
      <c r="Q324" s="137"/>
      <c r="R324" s="138"/>
      <c r="S324" s="141"/>
      <c r="T324" s="142"/>
      <c r="U324" s="143"/>
      <c r="V324" s="144"/>
      <c r="W324" s="144"/>
      <c r="X324" s="73" t="s">
        <v>373</v>
      </c>
    </row>
    <row r="325" spans="1:24" s="42" customFormat="1" ht="15" customHeight="1">
      <c r="A325" s="136"/>
      <c r="B325" s="137"/>
      <c r="C325" s="137"/>
      <c r="D325" s="137"/>
      <c r="E325" s="137"/>
      <c r="F325" s="137"/>
      <c r="G325" s="137"/>
      <c r="H325" s="137"/>
      <c r="I325" s="137"/>
      <c r="J325" s="137"/>
      <c r="K325" s="138"/>
      <c r="L325" s="191"/>
      <c r="M325" s="140"/>
      <c r="N325" s="137"/>
      <c r="O325" s="137"/>
      <c r="P325" s="137"/>
      <c r="Q325" s="137"/>
      <c r="R325" s="138"/>
      <c r="S325" s="141"/>
      <c r="T325" s="142"/>
      <c r="U325" s="143"/>
      <c r="V325" s="144"/>
      <c r="W325" s="144"/>
      <c r="X325" s="80" t="s">
        <v>250</v>
      </c>
    </row>
    <row r="326" spans="1:24" s="42" customFormat="1" ht="15" customHeight="1">
      <c r="A326" s="136"/>
      <c r="B326" s="137"/>
      <c r="C326" s="137"/>
      <c r="D326" s="137"/>
      <c r="E326" s="137"/>
      <c r="F326" s="137"/>
      <c r="G326" s="137"/>
      <c r="H326" s="137"/>
      <c r="I326" s="137"/>
      <c r="J326" s="137"/>
      <c r="K326" s="138"/>
      <c r="L326" s="191"/>
      <c r="M326" s="140"/>
      <c r="N326" s="137"/>
      <c r="O326" s="137"/>
      <c r="P326" s="137"/>
      <c r="Q326" s="137"/>
      <c r="R326" s="138"/>
      <c r="S326" s="141"/>
      <c r="T326" s="142"/>
      <c r="U326" s="143"/>
      <c r="V326" s="144"/>
      <c r="W326" s="144"/>
      <c r="X326" s="80" t="str">
        <f>VLOOKUP(X325,Eisendrachen,$Y$428,FALSE)</f>
        <v>-</v>
      </c>
    </row>
    <row r="327" spans="1:24" s="42" customFormat="1" ht="15" customHeight="1">
      <c r="A327" s="136"/>
      <c r="B327" s="137"/>
      <c r="C327" s="137"/>
      <c r="D327" s="137"/>
      <c r="E327" s="137"/>
      <c r="F327" s="137"/>
      <c r="G327" s="137"/>
      <c r="H327" s="137"/>
      <c r="I327" s="137"/>
      <c r="J327" s="137"/>
      <c r="K327" s="138"/>
      <c r="L327" s="191"/>
      <c r="M327" s="140"/>
      <c r="N327" s="137"/>
      <c r="O327" s="137"/>
      <c r="P327" s="137"/>
      <c r="Q327" s="137"/>
      <c r="R327" s="138"/>
      <c r="S327" s="141"/>
      <c r="T327" s="142"/>
      <c r="U327" s="143"/>
      <c r="V327" s="144"/>
      <c r="W327" s="144"/>
      <c r="X327" s="80" t="str">
        <f>VLOOKUP(X325,Eisendrachen,$AA$428,FALSE)</f>
        <v>-</v>
      </c>
    </row>
    <row r="328" spans="1:24" s="42" customFormat="1" ht="15" customHeight="1">
      <c r="A328" s="136"/>
      <c r="B328" s="137"/>
      <c r="C328" s="137"/>
      <c r="D328" s="137"/>
      <c r="E328" s="137"/>
      <c r="F328" s="137"/>
      <c r="G328" s="137"/>
      <c r="H328" s="137"/>
      <c r="I328" s="137"/>
      <c r="J328" s="137"/>
      <c r="K328" s="138"/>
      <c r="L328" s="191"/>
      <c r="M328" s="140"/>
      <c r="N328" s="137"/>
      <c r="O328" s="137"/>
      <c r="P328" s="137"/>
      <c r="Q328" s="137"/>
      <c r="R328" s="138"/>
      <c r="S328" s="141"/>
      <c r="T328" s="142"/>
      <c r="U328" s="143"/>
      <c r="V328" s="144"/>
      <c r="W328" s="144"/>
      <c r="X328" s="80" t="s">
        <v>200</v>
      </c>
    </row>
    <row r="329" spans="1:24" s="42" customFormat="1" ht="15" customHeight="1">
      <c r="A329" s="136"/>
      <c r="B329" s="137"/>
      <c r="C329" s="137"/>
      <c r="D329" s="137"/>
      <c r="E329" s="137"/>
      <c r="F329" s="137"/>
      <c r="G329" s="137"/>
      <c r="H329" s="137"/>
      <c r="I329" s="137"/>
      <c r="J329" s="137"/>
      <c r="K329" s="138"/>
      <c r="L329" s="191"/>
      <c r="M329" s="140"/>
      <c r="N329" s="137"/>
      <c r="O329" s="137"/>
      <c r="P329" s="137"/>
      <c r="Q329" s="137"/>
      <c r="R329" s="138"/>
      <c r="S329" s="141"/>
      <c r="T329" s="142"/>
      <c r="U329" s="143"/>
      <c r="V329" s="144"/>
      <c r="W329" s="144"/>
      <c r="X329" s="80" t="str">
        <f>VLOOKUP(X328,Eisendrachen,$Y$428,FALSE)</f>
        <v>-</v>
      </c>
    </row>
    <row r="330" spans="1:24" s="42" customFormat="1" ht="15" customHeight="1">
      <c r="A330" s="136"/>
      <c r="B330" s="137"/>
      <c r="C330" s="137"/>
      <c r="D330" s="137"/>
      <c r="E330" s="137"/>
      <c r="F330" s="137"/>
      <c r="G330" s="137"/>
      <c r="H330" s="137"/>
      <c r="I330" s="137"/>
      <c r="J330" s="137"/>
      <c r="K330" s="138"/>
      <c r="L330" s="191"/>
      <c r="M330" s="140"/>
      <c r="N330" s="137"/>
      <c r="O330" s="137"/>
      <c r="P330" s="137"/>
      <c r="Q330" s="137"/>
      <c r="R330" s="138"/>
      <c r="S330" s="141"/>
      <c r="T330" s="142"/>
      <c r="U330" s="143"/>
      <c r="V330" s="144"/>
      <c r="W330" s="144"/>
      <c r="X330" s="80" t="str">
        <f>VLOOKUP(X328,Eisendrachen,$AA$428,FALSE)</f>
        <v>-</v>
      </c>
    </row>
    <row r="331" spans="1:24" s="42" customFormat="1" ht="15" customHeight="1">
      <c r="A331" s="136"/>
      <c r="B331" s="137"/>
      <c r="C331" s="137"/>
      <c r="D331" s="137"/>
      <c r="E331" s="137"/>
      <c r="F331" s="137"/>
      <c r="G331" s="137"/>
      <c r="H331" s="137"/>
      <c r="I331" s="137"/>
      <c r="J331" s="137"/>
      <c r="K331" s="138"/>
      <c r="L331" s="191"/>
      <c r="M331" s="140"/>
      <c r="N331" s="137"/>
      <c r="O331" s="137"/>
      <c r="P331" s="137"/>
      <c r="Q331" s="137"/>
      <c r="R331" s="138"/>
      <c r="S331" s="141"/>
      <c r="T331" s="142"/>
      <c r="U331" s="143"/>
      <c r="V331" s="144"/>
      <c r="W331" s="144"/>
      <c r="X331" s="73"/>
    </row>
    <row r="332" spans="1:24" s="42" customFormat="1" ht="15" customHeight="1">
      <c r="A332" s="136"/>
      <c r="B332" s="137"/>
      <c r="C332" s="137"/>
      <c r="D332" s="137"/>
      <c r="E332" s="137"/>
      <c r="F332" s="137"/>
      <c r="G332" s="137"/>
      <c r="H332" s="137"/>
      <c r="I332" s="137"/>
      <c r="J332" s="137"/>
      <c r="K332" s="138"/>
      <c r="L332" s="191"/>
      <c r="M332" s="142"/>
      <c r="N332" s="140"/>
      <c r="O332" s="137"/>
      <c r="P332" s="137"/>
      <c r="Q332" s="137"/>
      <c r="R332" s="138"/>
      <c r="S332" s="141"/>
      <c r="T332" s="142"/>
      <c r="U332" s="143"/>
      <c r="V332" s="144"/>
      <c r="W332" s="144"/>
      <c r="X332" s="73"/>
    </row>
    <row r="333" spans="1:24" s="42" customFormat="1" ht="15" customHeight="1">
      <c r="A333" s="55" t="s">
        <v>355</v>
      </c>
      <c r="B333" s="66" t="s">
        <v>142</v>
      </c>
      <c r="C333" s="56">
        <v>1</v>
      </c>
      <c r="D333" s="56">
        <v>4</v>
      </c>
      <c r="E333" s="56">
        <v>3</v>
      </c>
      <c r="F333" s="56">
        <v>4</v>
      </c>
      <c r="G333" s="56">
        <v>5</v>
      </c>
      <c r="H333" s="56">
        <v>3</v>
      </c>
      <c r="I333" s="56">
        <v>2</v>
      </c>
      <c r="J333" s="56">
        <v>2</v>
      </c>
      <c r="K333" s="57">
        <v>9</v>
      </c>
      <c r="L333" s="125"/>
      <c r="M333" s="184">
        <v>10</v>
      </c>
      <c r="N333" s="185"/>
      <c r="O333" s="56">
        <v>1</v>
      </c>
      <c r="P333" s="56" t="s">
        <v>142</v>
      </c>
      <c r="Q333" s="56" t="s">
        <v>142</v>
      </c>
      <c r="R333" s="57" t="s">
        <v>142</v>
      </c>
      <c r="S333" s="60" t="s">
        <v>307</v>
      </c>
      <c r="T333" s="61"/>
      <c r="U333" s="62"/>
      <c r="V333" s="63"/>
      <c r="W333" s="63">
        <f>IF(B333="-",0,B333)*125</f>
        <v>0</v>
      </c>
      <c r="X333" s="70" t="s">
        <v>335</v>
      </c>
    </row>
    <row r="334" spans="1:24" s="42" customFormat="1" ht="15" customHeight="1">
      <c r="A334" s="55"/>
      <c r="B334" s="56"/>
      <c r="C334" s="56"/>
      <c r="D334" s="56"/>
      <c r="E334" s="56"/>
      <c r="F334" s="56"/>
      <c r="G334" s="56"/>
      <c r="H334" s="56"/>
      <c r="I334" s="56"/>
      <c r="J334" s="56"/>
      <c r="K334" s="57"/>
      <c r="L334" s="125"/>
      <c r="M334" s="61"/>
      <c r="N334" s="59"/>
      <c r="O334" s="56"/>
      <c r="P334" s="56"/>
      <c r="Q334" s="56"/>
      <c r="R334" s="57"/>
      <c r="S334" s="60"/>
      <c r="T334" s="61"/>
      <c r="U334" s="62"/>
      <c r="V334" s="63"/>
      <c r="W334" s="63"/>
      <c r="X334" s="70" t="s">
        <v>336</v>
      </c>
    </row>
    <row r="335" spans="1:24" s="42" customFormat="1" ht="15" customHeight="1">
      <c r="A335" s="71"/>
      <c r="B335" s="56"/>
      <c r="C335" s="56"/>
      <c r="D335" s="56"/>
      <c r="E335" s="56"/>
      <c r="F335" s="56"/>
      <c r="G335" s="56"/>
      <c r="H335" s="56"/>
      <c r="I335" s="56"/>
      <c r="J335" s="56"/>
      <c r="K335" s="57"/>
      <c r="L335" s="125"/>
      <c r="M335" s="59"/>
      <c r="N335" s="56"/>
      <c r="O335" s="56"/>
      <c r="P335" s="56"/>
      <c r="Q335" s="56"/>
      <c r="R335" s="57"/>
      <c r="S335" s="60"/>
      <c r="T335" s="61"/>
      <c r="U335" s="62"/>
      <c r="V335" s="63"/>
      <c r="W335" s="63"/>
      <c r="X335" s="77" t="s">
        <v>337</v>
      </c>
    </row>
    <row r="336" spans="1:24" s="42" customFormat="1" ht="15" customHeight="1">
      <c r="A336" s="71"/>
      <c r="B336" s="56"/>
      <c r="C336" s="56"/>
      <c r="D336" s="56"/>
      <c r="E336" s="56"/>
      <c r="F336" s="56"/>
      <c r="G336" s="56"/>
      <c r="H336" s="56"/>
      <c r="I336" s="56"/>
      <c r="J336" s="56"/>
      <c r="K336" s="57"/>
      <c r="L336" s="125"/>
      <c r="M336" s="59"/>
      <c r="N336" s="56"/>
      <c r="O336" s="56"/>
      <c r="P336" s="56"/>
      <c r="Q336" s="56"/>
      <c r="R336" s="57"/>
      <c r="S336" s="60"/>
      <c r="T336" s="61"/>
      <c r="U336" s="62"/>
      <c r="V336" s="63"/>
      <c r="W336" s="63"/>
      <c r="X336" s="77" t="s">
        <v>338</v>
      </c>
    </row>
    <row r="337" spans="1:24" s="42" customFormat="1" ht="15" customHeight="1">
      <c r="A337" s="65"/>
      <c r="B337" s="56"/>
      <c r="C337" s="56"/>
      <c r="D337" s="56"/>
      <c r="E337" s="56"/>
      <c r="F337" s="56"/>
      <c r="G337" s="56"/>
      <c r="H337" s="56"/>
      <c r="I337" s="56"/>
      <c r="J337" s="56"/>
      <c r="K337" s="57"/>
      <c r="L337" s="125"/>
      <c r="M337" s="59"/>
      <c r="N337" s="56"/>
      <c r="O337" s="56"/>
      <c r="P337" s="56"/>
      <c r="Q337" s="56"/>
      <c r="R337" s="57"/>
      <c r="S337" s="60"/>
      <c r="T337" s="61"/>
      <c r="U337" s="62"/>
      <c r="V337" s="63"/>
      <c r="W337" s="63"/>
      <c r="X337" s="77" t="s">
        <v>339</v>
      </c>
    </row>
    <row r="338" spans="1:24" s="42" customFormat="1" ht="15" customHeight="1">
      <c r="A338" s="65"/>
      <c r="B338" s="56"/>
      <c r="C338" s="56"/>
      <c r="D338" s="56"/>
      <c r="E338" s="56"/>
      <c r="F338" s="56"/>
      <c r="G338" s="56"/>
      <c r="H338" s="56"/>
      <c r="I338" s="56"/>
      <c r="J338" s="56"/>
      <c r="K338" s="57"/>
      <c r="L338" s="125"/>
      <c r="M338" s="59"/>
      <c r="N338" s="56"/>
      <c r="O338" s="56"/>
      <c r="P338" s="56"/>
      <c r="Q338" s="56"/>
      <c r="R338" s="57"/>
      <c r="S338" s="60"/>
      <c r="T338" s="61"/>
      <c r="U338" s="62"/>
      <c r="V338" s="63"/>
      <c r="W338" s="63"/>
      <c r="X338" s="76" t="s">
        <v>353</v>
      </c>
    </row>
    <row r="339" spans="1:24" s="42" customFormat="1" ht="15" customHeight="1">
      <c r="A339" s="65"/>
      <c r="B339" s="56"/>
      <c r="C339" s="56"/>
      <c r="D339" s="56"/>
      <c r="E339" s="56"/>
      <c r="F339" s="56"/>
      <c r="G339" s="56"/>
      <c r="H339" s="56"/>
      <c r="I339" s="56"/>
      <c r="J339" s="56"/>
      <c r="K339" s="57"/>
      <c r="L339" s="125"/>
      <c r="M339" s="59"/>
      <c r="N339" s="56"/>
      <c r="O339" s="56"/>
      <c r="P339" s="56"/>
      <c r="Q339" s="56"/>
      <c r="R339" s="57"/>
      <c r="S339" s="60"/>
      <c r="T339" s="61"/>
      <c r="U339" s="62"/>
      <c r="V339" s="63"/>
      <c r="W339" s="63"/>
      <c r="X339" s="77" t="s">
        <v>354</v>
      </c>
    </row>
    <row r="340" spans="1:24" s="42" customFormat="1" ht="15" customHeight="1">
      <c r="A340" s="65"/>
      <c r="B340" s="56"/>
      <c r="C340" s="56"/>
      <c r="D340" s="56"/>
      <c r="E340" s="56"/>
      <c r="F340" s="56"/>
      <c r="G340" s="56"/>
      <c r="H340" s="56"/>
      <c r="I340" s="56"/>
      <c r="J340" s="56"/>
      <c r="K340" s="57"/>
      <c r="L340" s="125"/>
      <c r="M340" s="59"/>
      <c r="N340" s="56"/>
      <c r="O340" s="56"/>
      <c r="P340" s="56"/>
      <c r="Q340" s="56"/>
      <c r="R340" s="57"/>
      <c r="S340" s="60"/>
      <c r="T340" s="61"/>
      <c r="U340" s="62"/>
      <c r="V340" s="63"/>
      <c r="W340" s="63"/>
      <c r="X340" s="77" t="s">
        <v>340</v>
      </c>
    </row>
    <row r="341" spans="1:24" s="42" customFormat="1" ht="15" customHeight="1">
      <c r="A341" s="65"/>
      <c r="B341" s="56"/>
      <c r="C341" s="56"/>
      <c r="D341" s="56"/>
      <c r="E341" s="56"/>
      <c r="F341" s="56"/>
      <c r="G341" s="56"/>
      <c r="H341" s="56"/>
      <c r="I341" s="56"/>
      <c r="J341" s="56"/>
      <c r="K341" s="57"/>
      <c r="L341" s="125"/>
      <c r="M341" s="59"/>
      <c r="N341" s="56"/>
      <c r="O341" s="56"/>
      <c r="P341" s="56"/>
      <c r="Q341" s="56"/>
      <c r="R341" s="57"/>
      <c r="S341" s="60"/>
      <c r="T341" s="61"/>
      <c r="U341" s="62"/>
      <c r="V341" s="63"/>
      <c r="W341" s="63"/>
      <c r="X341" s="77" t="s">
        <v>341</v>
      </c>
    </row>
    <row r="342" spans="1:24" s="42" customFormat="1" ht="15" customHeight="1">
      <c r="A342" s="65"/>
      <c r="B342" s="56"/>
      <c r="C342" s="56"/>
      <c r="D342" s="56"/>
      <c r="E342" s="56"/>
      <c r="F342" s="56"/>
      <c r="G342" s="56"/>
      <c r="H342" s="56"/>
      <c r="I342" s="56"/>
      <c r="J342" s="56"/>
      <c r="K342" s="57"/>
      <c r="L342" s="125"/>
      <c r="M342" s="59"/>
      <c r="N342" s="56"/>
      <c r="O342" s="56"/>
      <c r="P342" s="56"/>
      <c r="Q342" s="56"/>
      <c r="R342" s="57"/>
      <c r="S342" s="60"/>
      <c r="T342" s="61"/>
      <c r="U342" s="62"/>
      <c r="V342" s="63"/>
      <c r="W342" s="63"/>
      <c r="X342" s="77" t="s">
        <v>260</v>
      </c>
    </row>
    <row r="343" spans="1:24" s="42" customFormat="1" ht="15" customHeight="1">
      <c r="A343" s="65"/>
      <c r="B343" s="56"/>
      <c r="C343" s="56"/>
      <c r="D343" s="56"/>
      <c r="E343" s="56"/>
      <c r="F343" s="56"/>
      <c r="G343" s="56"/>
      <c r="H343" s="56"/>
      <c r="I343" s="56"/>
      <c r="J343" s="56"/>
      <c r="K343" s="57"/>
      <c r="L343" s="125"/>
      <c r="M343" s="59"/>
      <c r="N343" s="56"/>
      <c r="O343" s="56"/>
      <c r="P343" s="56"/>
      <c r="Q343" s="56"/>
      <c r="R343" s="57"/>
      <c r="S343" s="60"/>
      <c r="T343" s="61"/>
      <c r="U343" s="62"/>
      <c r="V343" s="63"/>
      <c r="W343" s="63"/>
      <c r="X343" s="73" t="s">
        <v>261</v>
      </c>
    </row>
    <row r="344" spans="1:24" s="42" customFormat="1" ht="15" customHeight="1">
      <c r="A344" s="65"/>
      <c r="B344" s="56"/>
      <c r="C344" s="56"/>
      <c r="D344" s="56"/>
      <c r="E344" s="56"/>
      <c r="F344" s="56"/>
      <c r="G344" s="56"/>
      <c r="H344" s="56"/>
      <c r="I344" s="56"/>
      <c r="J344" s="56"/>
      <c r="K344" s="57"/>
      <c r="L344" s="125"/>
      <c r="M344" s="59"/>
      <c r="N344" s="56"/>
      <c r="O344" s="56"/>
      <c r="P344" s="56"/>
      <c r="Q344" s="56"/>
      <c r="R344" s="57"/>
      <c r="S344" s="60"/>
      <c r="T344" s="61"/>
      <c r="U344" s="62"/>
      <c r="V344" s="63"/>
      <c r="W344" s="63"/>
      <c r="X344" s="73"/>
    </row>
    <row r="345" spans="1:24" s="42" customFormat="1" ht="15" customHeight="1">
      <c r="A345" s="65"/>
      <c r="B345" s="56"/>
      <c r="C345" s="56"/>
      <c r="D345" s="56"/>
      <c r="E345" s="56"/>
      <c r="F345" s="56"/>
      <c r="G345" s="56"/>
      <c r="H345" s="56"/>
      <c r="I345" s="56"/>
      <c r="J345" s="56"/>
      <c r="K345" s="57"/>
      <c r="L345" s="125"/>
      <c r="M345" s="59"/>
      <c r="N345" s="56"/>
      <c r="O345" s="56"/>
      <c r="P345" s="56"/>
      <c r="Q345" s="56"/>
      <c r="R345" s="57"/>
      <c r="S345" s="60"/>
      <c r="T345" s="61"/>
      <c r="U345" s="62"/>
      <c r="V345" s="63"/>
      <c r="W345" s="63"/>
      <c r="X345" s="73"/>
    </row>
    <row r="346" spans="1:27" s="42" customFormat="1" ht="15.75" customHeight="1">
      <c r="A346" s="55" t="s">
        <v>143</v>
      </c>
      <c r="B346" s="66" t="s">
        <v>142</v>
      </c>
      <c r="C346" s="56">
        <v>3</v>
      </c>
      <c r="D346" s="56">
        <v>4</v>
      </c>
      <c r="E346" s="56">
        <v>3</v>
      </c>
      <c r="F346" s="56">
        <v>3</v>
      </c>
      <c r="G346" s="56">
        <v>4</v>
      </c>
      <c r="H346" s="56">
        <v>1</v>
      </c>
      <c r="I346" s="56">
        <v>3</v>
      </c>
      <c r="J346" s="67" t="s">
        <v>226</v>
      </c>
      <c r="K346" s="57">
        <v>10</v>
      </c>
      <c r="L346" s="125"/>
      <c r="M346" s="183">
        <v>1</v>
      </c>
      <c r="N346" s="72">
        <v>1</v>
      </c>
      <c r="O346" s="56">
        <v>2</v>
      </c>
      <c r="P346" s="56" t="s">
        <v>142</v>
      </c>
      <c r="Q346" s="56" t="s">
        <v>142</v>
      </c>
      <c r="R346" s="57" t="s">
        <v>142</v>
      </c>
      <c r="S346" s="60"/>
      <c r="T346" s="61"/>
      <c r="U346" s="62"/>
      <c r="V346" s="63"/>
      <c r="W346" s="63">
        <f>IF(B346="-",0,195+(IF(B346&gt;9,B346-9,0)*12))</f>
        <v>0</v>
      </c>
      <c r="X346" s="70" t="s">
        <v>110</v>
      </c>
      <c r="Z346" s="93"/>
      <c r="AA346" s="93"/>
    </row>
    <row r="347" spans="1:24" s="42" customFormat="1" ht="15.75" customHeight="1">
      <c r="A347" s="71" t="s">
        <v>144</v>
      </c>
      <c r="B347" s="72" t="str">
        <f>IF(B346="-","-",1)</f>
        <v>-</v>
      </c>
      <c r="C347" s="56">
        <v>3</v>
      </c>
      <c r="D347" s="56">
        <v>6</v>
      </c>
      <c r="E347" s="56">
        <v>4</v>
      </c>
      <c r="F347" s="56">
        <v>4</v>
      </c>
      <c r="G347" s="56">
        <v>4</v>
      </c>
      <c r="H347" s="56">
        <v>2</v>
      </c>
      <c r="I347" s="56">
        <v>4</v>
      </c>
      <c r="J347" s="67" t="s">
        <v>124</v>
      </c>
      <c r="K347" s="57">
        <v>10</v>
      </c>
      <c r="L347" s="125"/>
      <c r="M347" s="59"/>
      <c r="N347" s="56"/>
      <c r="O347" s="56">
        <v>2</v>
      </c>
      <c r="P347" s="56" t="s">
        <v>142</v>
      </c>
      <c r="Q347" s="56" t="s">
        <v>142</v>
      </c>
      <c r="R347" s="57" t="s">
        <v>142</v>
      </c>
      <c r="S347" s="60"/>
      <c r="T347" s="61"/>
      <c r="U347" s="62"/>
      <c r="V347" s="63"/>
      <c r="W347" s="63" t="s">
        <v>142</v>
      </c>
      <c r="X347" s="70" t="s">
        <v>148</v>
      </c>
    </row>
    <row r="348" spans="1:24" s="42" customFormat="1" ht="15.75" customHeight="1">
      <c r="A348" s="71"/>
      <c r="B348" s="56"/>
      <c r="C348" s="56"/>
      <c r="D348" s="56"/>
      <c r="E348" s="56"/>
      <c r="F348" s="56"/>
      <c r="G348" s="56"/>
      <c r="H348" s="56"/>
      <c r="I348" s="56"/>
      <c r="J348" s="56"/>
      <c r="K348" s="57"/>
      <c r="L348" s="125"/>
      <c r="M348" s="59"/>
      <c r="N348" s="56"/>
      <c r="O348" s="56"/>
      <c r="P348" s="56"/>
      <c r="Q348" s="56"/>
      <c r="R348" s="57"/>
      <c r="S348" s="60"/>
      <c r="T348" s="61"/>
      <c r="U348" s="62"/>
      <c r="V348" s="63"/>
      <c r="W348" s="63"/>
      <c r="X348" s="70"/>
    </row>
    <row r="349" spans="1:24" s="42" customFormat="1" ht="15.75" customHeight="1">
      <c r="A349" s="71"/>
      <c r="B349" s="56"/>
      <c r="C349" s="56"/>
      <c r="D349" s="56"/>
      <c r="E349" s="56"/>
      <c r="F349" s="56"/>
      <c r="G349" s="56"/>
      <c r="H349" s="56"/>
      <c r="I349" s="56"/>
      <c r="J349" s="56"/>
      <c r="K349" s="57"/>
      <c r="L349" s="125"/>
      <c r="M349" s="59"/>
      <c r="N349" s="56"/>
      <c r="O349" s="56"/>
      <c r="P349" s="56"/>
      <c r="Q349" s="56"/>
      <c r="R349" s="57"/>
      <c r="S349" s="60"/>
      <c r="T349" s="61"/>
      <c r="U349" s="62"/>
      <c r="V349" s="63"/>
      <c r="W349" s="63"/>
      <c r="X349" s="70"/>
    </row>
    <row r="350" spans="1:24" s="42" customFormat="1" ht="15.75" customHeight="1">
      <c r="A350" s="71" t="s">
        <v>301</v>
      </c>
      <c r="B350" s="66" t="s">
        <v>142</v>
      </c>
      <c r="C350" s="56">
        <v>3</v>
      </c>
      <c r="D350" s="56">
        <v>7</v>
      </c>
      <c r="E350" s="56">
        <v>2</v>
      </c>
      <c r="F350" s="56">
        <v>4</v>
      </c>
      <c r="G350" s="56">
        <v>5</v>
      </c>
      <c r="H350" s="56">
        <v>3</v>
      </c>
      <c r="I350" s="56">
        <v>5</v>
      </c>
      <c r="J350" s="56">
        <v>4</v>
      </c>
      <c r="K350" s="57">
        <v>10</v>
      </c>
      <c r="L350" s="125"/>
      <c r="M350" s="59"/>
      <c r="N350" s="56"/>
      <c r="O350" s="56">
        <v>1</v>
      </c>
      <c r="P350" s="56" t="s">
        <v>142</v>
      </c>
      <c r="Q350" s="56" t="s">
        <v>142</v>
      </c>
      <c r="R350" s="57" t="s">
        <v>142</v>
      </c>
      <c r="S350" s="60"/>
      <c r="T350" s="61"/>
      <c r="U350" s="62" t="s">
        <v>307</v>
      </c>
      <c r="V350" s="63"/>
      <c r="W350" s="63">
        <f>293*IF(B350="-",0,B350)</f>
        <v>0</v>
      </c>
      <c r="X350" s="70" t="s">
        <v>255</v>
      </c>
    </row>
    <row r="351" spans="1:24" s="42" customFormat="1" ht="15.75" customHeight="1">
      <c r="A351" s="71"/>
      <c r="B351" s="56"/>
      <c r="C351" s="56"/>
      <c r="D351" s="56"/>
      <c r="E351" s="56"/>
      <c r="F351" s="56"/>
      <c r="G351" s="56"/>
      <c r="H351" s="56"/>
      <c r="I351" s="56"/>
      <c r="J351" s="56"/>
      <c r="K351" s="57"/>
      <c r="L351" s="125"/>
      <c r="M351" s="59"/>
      <c r="N351" s="56"/>
      <c r="O351" s="56"/>
      <c r="P351" s="56"/>
      <c r="Q351" s="56"/>
      <c r="R351" s="57"/>
      <c r="S351" s="60"/>
      <c r="T351" s="61"/>
      <c r="U351" s="62"/>
      <c r="V351" s="63"/>
      <c r="W351" s="63"/>
      <c r="X351" s="70" t="s">
        <v>192</v>
      </c>
    </row>
    <row r="352" spans="1:24" s="42" customFormat="1" ht="15.75" customHeight="1">
      <c r="A352" s="71"/>
      <c r="B352" s="56"/>
      <c r="C352" s="56"/>
      <c r="D352" s="56"/>
      <c r="E352" s="56"/>
      <c r="F352" s="56"/>
      <c r="G352" s="56"/>
      <c r="H352" s="56"/>
      <c r="I352" s="56"/>
      <c r="J352" s="56"/>
      <c r="K352" s="57"/>
      <c r="L352" s="125"/>
      <c r="M352" s="59"/>
      <c r="N352" s="56"/>
      <c r="O352" s="56"/>
      <c r="P352" s="56"/>
      <c r="Q352" s="56"/>
      <c r="R352" s="57"/>
      <c r="S352" s="60"/>
      <c r="T352" s="61"/>
      <c r="U352" s="62"/>
      <c r="V352" s="63"/>
      <c r="W352" s="63"/>
      <c r="X352" s="70" t="s">
        <v>193</v>
      </c>
    </row>
    <row r="353" spans="1:24" s="42" customFormat="1" ht="15.75" customHeight="1">
      <c r="A353" s="71"/>
      <c r="B353" s="56"/>
      <c r="C353" s="56"/>
      <c r="D353" s="56"/>
      <c r="E353" s="56"/>
      <c r="F353" s="56"/>
      <c r="G353" s="56"/>
      <c r="H353" s="56"/>
      <c r="I353" s="56"/>
      <c r="J353" s="56"/>
      <c r="K353" s="57"/>
      <c r="L353" s="125"/>
      <c r="M353" s="59"/>
      <c r="N353" s="56"/>
      <c r="O353" s="56"/>
      <c r="P353" s="56"/>
      <c r="Q353" s="56"/>
      <c r="R353" s="57"/>
      <c r="S353" s="60"/>
      <c r="T353" s="61"/>
      <c r="U353" s="62"/>
      <c r="V353" s="63"/>
      <c r="W353" s="63"/>
      <c r="X353" s="77" t="s">
        <v>344</v>
      </c>
    </row>
    <row r="354" spans="1:24" s="42" customFormat="1" ht="15.75" customHeight="1">
      <c r="A354" s="65"/>
      <c r="B354" s="56"/>
      <c r="C354" s="56"/>
      <c r="D354" s="56"/>
      <c r="E354" s="56"/>
      <c r="F354" s="56"/>
      <c r="G354" s="56"/>
      <c r="H354" s="56"/>
      <c r="I354" s="56"/>
      <c r="J354" s="56"/>
      <c r="K354" s="57"/>
      <c r="L354" s="125"/>
      <c r="M354" s="59"/>
      <c r="N354" s="56"/>
      <c r="O354" s="56"/>
      <c r="P354" s="56"/>
      <c r="Q354" s="56"/>
      <c r="R354" s="57"/>
      <c r="S354" s="60"/>
      <c r="T354" s="61"/>
      <c r="U354" s="62"/>
      <c r="V354" s="63"/>
      <c r="W354" s="63"/>
      <c r="X354" s="77" t="s">
        <v>136</v>
      </c>
    </row>
    <row r="355" spans="1:24" s="42" customFormat="1" ht="15.75" customHeight="1">
      <c r="A355" s="65"/>
      <c r="B355" s="56"/>
      <c r="C355" s="56"/>
      <c r="D355" s="56"/>
      <c r="E355" s="56"/>
      <c r="F355" s="56"/>
      <c r="G355" s="56"/>
      <c r="H355" s="56"/>
      <c r="I355" s="56"/>
      <c r="J355" s="56"/>
      <c r="K355" s="57"/>
      <c r="L355" s="125"/>
      <c r="M355" s="59"/>
      <c r="N355" s="56"/>
      <c r="O355" s="56"/>
      <c r="P355" s="56"/>
      <c r="Q355" s="56"/>
      <c r="R355" s="57"/>
      <c r="S355" s="60"/>
      <c r="T355" s="61"/>
      <c r="U355" s="62"/>
      <c r="V355" s="63"/>
      <c r="W355" s="63"/>
      <c r="X355" s="77" t="s">
        <v>347</v>
      </c>
    </row>
    <row r="356" spans="1:24" s="42" customFormat="1" ht="15.75" customHeight="1">
      <c r="A356" s="65"/>
      <c r="B356" s="56"/>
      <c r="C356" s="56"/>
      <c r="D356" s="56"/>
      <c r="E356" s="56"/>
      <c r="F356" s="56"/>
      <c r="G356" s="56"/>
      <c r="H356" s="56"/>
      <c r="I356" s="56"/>
      <c r="J356" s="56"/>
      <c r="K356" s="57"/>
      <c r="L356" s="125"/>
      <c r="M356" s="59"/>
      <c r="N356" s="56"/>
      <c r="O356" s="56"/>
      <c r="P356" s="56"/>
      <c r="Q356" s="56"/>
      <c r="R356" s="57"/>
      <c r="S356" s="60"/>
      <c r="T356" s="61"/>
      <c r="U356" s="62"/>
      <c r="V356" s="63"/>
      <c r="W356" s="63"/>
      <c r="X356" s="77" t="s">
        <v>313</v>
      </c>
    </row>
    <row r="357" spans="1:24" s="42" customFormat="1" ht="15.75" customHeight="1">
      <c r="A357" s="65"/>
      <c r="B357" s="56"/>
      <c r="C357" s="56"/>
      <c r="D357" s="56"/>
      <c r="E357" s="56"/>
      <c r="F357" s="56"/>
      <c r="G357" s="56"/>
      <c r="H357" s="56"/>
      <c r="I357" s="56"/>
      <c r="J357" s="56"/>
      <c r="K357" s="57"/>
      <c r="L357" s="125"/>
      <c r="M357" s="59"/>
      <c r="N357" s="56"/>
      <c r="O357" s="56"/>
      <c r="P357" s="56"/>
      <c r="Q357" s="56"/>
      <c r="R357" s="57"/>
      <c r="S357" s="60"/>
      <c r="T357" s="61"/>
      <c r="U357" s="62"/>
      <c r="V357" s="63"/>
      <c r="W357" s="63"/>
      <c r="X357" s="77" t="s">
        <v>314</v>
      </c>
    </row>
    <row r="358" spans="1:24" s="42" customFormat="1" ht="15.75" customHeight="1">
      <c r="A358" s="65" t="s">
        <v>302</v>
      </c>
      <c r="B358" s="72" t="str">
        <f>B350</f>
        <v>-</v>
      </c>
      <c r="C358" s="56">
        <v>4</v>
      </c>
      <c r="D358" s="56">
        <v>5</v>
      </c>
      <c r="E358" s="56">
        <v>5</v>
      </c>
      <c r="F358" s="56">
        <v>4</v>
      </c>
      <c r="G358" s="56">
        <v>4</v>
      </c>
      <c r="H358" s="56">
        <v>2</v>
      </c>
      <c r="I358" s="56">
        <v>5</v>
      </c>
      <c r="J358" s="67" t="s">
        <v>346</v>
      </c>
      <c r="K358" s="57">
        <v>8</v>
      </c>
      <c r="L358" s="125"/>
      <c r="M358" s="59"/>
      <c r="N358" s="56"/>
      <c r="O358" s="56">
        <v>1</v>
      </c>
      <c r="P358" s="56" t="s">
        <v>142</v>
      </c>
      <c r="Q358" s="56" t="s">
        <v>113</v>
      </c>
      <c r="R358" s="57" t="s">
        <v>142</v>
      </c>
      <c r="S358" s="60"/>
      <c r="T358" s="61"/>
      <c r="U358" s="192" t="s">
        <v>194</v>
      </c>
      <c r="V358" s="63"/>
      <c r="W358" s="63">
        <f>162*IF(B350="-",0,1)</f>
        <v>0</v>
      </c>
      <c r="X358" s="70" t="s">
        <v>345</v>
      </c>
    </row>
    <row r="359" spans="1:24" s="42" customFormat="1" ht="15.75" customHeight="1">
      <c r="A359" s="71"/>
      <c r="B359" s="56"/>
      <c r="C359" s="56"/>
      <c r="D359" s="56"/>
      <c r="E359" s="56"/>
      <c r="F359" s="56"/>
      <c r="G359" s="56"/>
      <c r="H359" s="56"/>
      <c r="I359" s="56"/>
      <c r="J359" s="56"/>
      <c r="K359" s="57"/>
      <c r="L359" s="125"/>
      <c r="M359" s="59"/>
      <c r="N359" s="56"/>
      <c r="O359" s="56"/>
      <c r="P359" s="56"/>
      <c r="Q359" s="56"/>
      <c r="R359" s="57"/>
      <c r="S359" s="60"/>
      <c r="T359" s="61"/>
      <c r="U359" s="62"/>
      <c r="V359" s="63"/>
      <c r="W359" s="63"/>
      <c r="X359" s="77" t="s">
        <v>267</v>
      </c>
    </row>
    <row r="360" spans="1:24" s="42" customFormat="1" ht="15.75" customHeight="1">
      <c r="A360" s="65"/>
      <c r="B360" s="56"/>
      <c r="C360" s="56"/>
      <c r="D360" s="56"/>
      <c r="E360" s="56"/>
      <c r="F360" s="56"/>
      <c r="G360" s="56"/>
      <c r="H360" s="56"/>
      <c r="I360" s="56"/>
      <c r="J360" s="56"/>
      <c r="K360" s="57"/>
      <c r="L360" s="125"/>
      <c r="M360" s="59"/>
      <c r="N360" s="56"/>
      <c r="O360" s="56"/>
      <c r="P360" s="56"/>
      <c r="Q360" s="56"/>
      <c r="R360" s="57"/>
      <c r="S360" s="60"/>
      <c r="T360" s="61"/>
      <c r="U360" s="62"/>
      <c r="V360" s="63"/>
      <c r="W360" s="63"/>
      <c r="X360" s="77"/>
    </row>
    <row r="361" spans="1:27" s="42" customFormat="1" ht="25.5" customHeight="1">
      <c r="A361" s="190" t="s">
        <v>183</v>
      </c>
      <c r="B361" s="118" t="s">
        <v>147</v>
      </c>
      <c r="C361" s="119" t="s">
        <v>145</v>
      </c>
      <c r="D361" s="119" t="s">
        <v>253</v>
      </c>
      <c r="E361" s="119" t="s">
        <v>206</v>
      </c>
      <c r="F361" s="119" t="s">
        <v>318</v>
      </c>
      <c r="G361" s="119" t="s">
        <v>146</v>
      </c>
      <c r="H361" s="119" t="s">
        <v>207</v>
      </c>
      <c r="I361" s="119" t="s">
        <v>208</v>
      </c>
      <c r="J361" s="119" t="s">
        <v>209</v>
      </c>
      <c r="K361" s="119" t="s">
        <v>210</v>
      </c>
      <c r="L361" s="120"/>
      <c r="M361" s="186" t="s">
        <v>184</v>
      </c>
      <c r="N361" s="187"/>
      <c r="O361" s="119" t="s">
        <v>311</v>
      </c>
      <c r="P361" s="119" t="s">
        <v>312</v>
      </c>
      <c r="Q361" s="119" t="s">
        <v>103</v>
      </c>
      <c r="R361" s="119" t="s">
        <v>105</v>
      </c>
      <c r="S361" s="121" t="s">
        <v>343</v>
      </c>
      <c r="T361" s="119"/>
      <c r="U361" s="122" t="s">
        <v>104</v>
      </c>
      <c r="V361" s="123" t="s">
        <v>187</v>
      </c>
      <c r="W361" s="124" t="s">
        <v>322</v>
      </c>
      <c r="X361" s="122" t="s">
        <v>410</v>
      </c>
      <c r="Z361" s="93">
        <f>SUM(W301:W360)+SUM(W362:W395)</f>
        <v>0</v>
      </c>
      <c r="AA361" s="93" t="s">
        <v>133</v>
      </c>
    </row>
    <row r="362" spans="1:27" s="42" customFormat="1" ht="15" customHeight="1">
      <c r="A362" s="55"/>
      <c r="B362" s="56"/>
      <c r="C362" s="56"/>
      <c r="D362" s="56"/>
      <c r="E362" s="56"/>
      <c r="F362" s="56"/>
      <c r="G362" s="56"/>
      <c r="H362" s="56"/>
      <c r="I362" s="56"/>
      <c r="J362" s="56"/>
      <c r="K362" s="57"/>
      <c r="L362" s="125"/>
      <c r="M362" s="59"/>
      <c r="N362" s="56"/>
      <c r="O362" s="56"/>
      <c r="P362" s="56"/>
      <c r="Q362" s="56"/>
      <c r="R362" s="57"/>
      <c r="S362" s="60"/>
      <c r="T362" s="61"/>
      <c r="U362" s="62"/>
      <c r="V362" s="63"/>
      <c r="W362" s="63"/>
      <c r="X362" s="70"/>
      <c r="Z362" s="93"/>
      <c r="AA362" s="93"/>
    </row>
    <row r="363" spans="1:27" s="42" customFormat="1" ht="15" customHeight="1">
      <c r="A363" s="71"/>
      <c r="B363" s="56"/>
      <c r="C363" s="56"/>
      <c r="D363" s="56"/>
      <c r="E363" s="56"/>
      <c r="F363" s="56"/>
      <c r="G363" s="56"/>
      <c r="H363" s="56"/>
      <c r="I363" s="56"/>
      <c r="J363" s="56"/>
      <c r="K363" s="57"/>
      <c r="L363" s="125"/>
      <c r="M363" s="59"/>
      <c r="N363" s="56"/>
      <c r="O363" s="56"/>
      <c r="P363" s="56"/>
      <c r="Q363" s="56"/>
      <c r="R363" s="57"/>
      <c r="S363" s="60"/>
      <c r="T363" s="61"/>
      <c r="U363" s="62"/>
      <c r="V363" s="63"/>
      <c r="W363" s="63"/>
      <c r="X363" s="70"/>
      <c r="Z363" s="93"/>
      <c r="AA363" s="93"/>
    </row>
    <row r="364" spans="1:24" s="42" customFormat="1" ht="15.75" customHeight="1">
      <c r="A364" s="71" t="s">
        <v>73</v>
      </c>
      <c r="B364" s="66" t="s">
        <v>142</v>
      </c>
      <c r="C364" s="56">
        <v>3</v>
      </c>
      <c r="D364" s="56" t="s">
        <v>142</v>
      </c>
      <c r="E364" s="56" t="s">
        <v>142</v>
      </c>
      <c r="F364" s="56" t="s">
        <v>265</v>
      </c>
      <c r="G364" s="56">
        <v>7</v>
      </c>
      <c r="H364" s="56">
        <v>3</v>
      </c>
      <c r="I364" s="56" t="s">
        <v>142</v>
      </c>
      <c r="J364" s="56" t="s">
        <v>142</v>
      </c>
      <c r="K364" s="57" t="s">
        <v>142</v>
      </c>
      <c r="L364" s="125"/>
      <c r="M364" s="184">
        <v>30</v>
      </c>
      <c r="N364" s="185"/>
      <c r="O364" s="56"/>
      <c r="P364" s="56"/>
      <c r="Q364" s="56"/>
      <c r="R364" s="57"/>
      <c r="S364" s="60"/>
      <c r="T364" s="61"/>
      <c r="U364" s="62"/>
      <c r="V364" s="109" t="s">
        <v>142</v>
      </c>
      <c r="W364" s="63">
        <f>IF(B364="-",0,B364)*(120+IF(V364="-",0,V364))</f>
        <v>0</v>
      </c>
      <c r="X364" s="70" t="s">
        <v>397</v>
      </c>
    </row>
    <row r="365" spans="1:24" s="42" customFormat="1" ht="15.75" customHeight="1">
      <c r="A365" s="71" t="s">
        <v>317</v>
      </c>
      <c r="B365" s="72" t="str">
        <f>IF(B364="-","-",B364*3)</f>
        <v>-</v>
      </c>
      <c r="C365" s="56">
        <v>3</v>
      </c>
      <c r="D365" s="56">
        <v>4</v>
      </c>
      <c r="E365" s="56">
        <v>3</v>
      </c>
      <c r="F365" s="56">
        <v>3</v>
      </c>
      <c r="G365" s="56">
        <v>4</v>
      </c>
      <c r="H365" s="56">
        <v>1</v>
      </c>
      <c r="I365" s="56">
        <v>2</v>
      </c>
      <c r="J365" s="56">
        <v>1</v>
      </c>
      <c r="K365" s="57">
        <v>9</v>
      </c>
      <c r="L365" s="125"/>
      <c r="M365" s="59"/>
      <c r="N365" s="56"/>
      <c r="O365" s="56">
        <v>1</v>
      </c>
      <c r="P365" s="56" t="s">
        <v>142</v>
      </c>
      <c r="Q365" s="56" t="s">
        <v>113</v>
      </c>
      <c r="R365" s="57" t="s">
        <v>142</v>
      </c>
      <c r="S365" s="60" t="s">
        <v>197</v>
      </c>
      <c r="T365" s="69">
        <v>1</v>
      </c>
      <c r="U365" s="62"/>
      <c r="V365" s="63"/>
      <c r="W365" s="63"/>
      <c r="X365" s="73" t="s">
        <v>399</v>
      </c>
    </row>
    <row r="366" spans="1:24" s="42" customFormat="1" ht="15.75" customHeight="1">
      <c r="A366" s="71"/>
      <c r="B366" s="72"/>
      <c r="C366" s="56"/>
      <c r="D366" s="56"/>
      <c r="E366" s="56"/>
      <c r="F366" s="56"/>
      <c r="G366" s="56"/>
      <c r="H366" s="56"/>
      <c r="I366" s="56"/>
      <c r="J366" s="56"/>
      <c r="K366" s="57"/>
      <c r="L366" s="125"/>
      <c r="M366" s="59"/>
      <c r="N366" s="56"/>
      <c r="O366" s="56"/>
      <c r="P366" s="56"/>
      <c r="Q366" s="56"/>
      <c r="R366" s="57"/>
      <c r="S366" s="60"/>
      <c r="T366" s="164"/>
      <c r="U366" s="62"/>
      <c r="V366" s="63"/>
      <c r="W366" s="63"/>
      <c r="X366" s="73" t="s">
        <v>400</v>
      </c>
    </row>
    <row r="367" spans="1:24" s="42" customFormat="1" ht="15.75" customHeight="1">
      <c r="A367" s="71"/>
      <c r="B367" s="72"/>
      <c r="C367" s="56"/>
      <c r="D367" s="56"/>
      <c r="E367" s="56"/>
      <c r="F367" s="56"/>
      <c r="G367" s="56"/>
      <c r="H367" s="56"/>
      <c r="I367" s="56"/>
      <c r="J367" s="56"/>
      <c r="K367" s="57"/>
      <c r="L367" s="125"/>
      <c r="M367" s="59"/>
      <c r="N367" s="56"/>
      <c r="O367" s="56"/>
      <c r="P367" s="56"/>
      <c r="Q367" s="56"/>
      <c r="R367" s="57"/>
      <c r="S367" s="60"/>
      <c r="T367" s="164"/>
      <c r="U367" s="62"/>
      <c r="V367" s="63"/>
      <c r="W367" s="63"/>
      <c r="X367" s="73" t="s">
        <v>401</v>
      </c>
    </row>
    <row r="368" spans="1:24" s="42" customFormat="1" ht="15.75" customHeight="1">
      <c r="A368" s="71"/>
      <c r="B368" s="56"/>
      <c r="C368" s="56"/>
      <c r="D368" s="56"/>
      <c r="E368" s="56"/>
      <c r="F368" s="56"/>
      <c r="G368" s="56"/>
      <c r="H368" s="56"/>
      <c r="I368" s="56"/>
      <c r="J368" s="56"/>
      <c r="K368" s="57"/>
      <c r="L368" s="125"/>
      <c r="M368" s="59"/>
      <c r="N368" s="56"/>
      <c r="O368" s="56"/>
      <c r="P368" s="56"/>
      <c r="Q368" s="56"/>
      <c r="R368" s="57"/>
      <c r="S368" s="60"/>
      <c r="T368" s="61"/>
      <c r="U368" s="62"/>
      <c r="V368" s="63"/>
      <c r="W368" s="63"/>
      <c r="X368" s="73"/>
    </row>
    <row r="369" spans="1:24" s="42" customFormat="1" ht="15.75" customHeight="1">
      <c r="A369" s="71"/>
      <c r="B369" s="56"/>
      <c r="C369" s="56"/>
      <c r="D369" s="56"/>
      <c r="E369" s="56"/>
      <c r="F369" s="56"/>
      <c r="G369" s="56"/>
      <c r="H369" s="56"/>
      <c r="I369" s="56"/>
      <c r="J369" s="56"/>
      <c r="K369" s="57"/>
      <c r="L369" s="125"/>
      <c r="M369" s="61"/>
      <c r="N369" s="59"/>
      <c r="O369" s="56"/>
      <c r="P369" s="56"/>
      <c r="Q369" s="56"/>
      <c r="R369" s="57"/>
      <c r="S369" s="60"/>
      <c r="T369" s="61"/>
      <c r="U369" s="62"/>
      <c r="V369" s="63"/>
      <c r="W369" s="63"/>
      <c r="X369" s="73"/>
    </row>
    <row r="370" spans="1:24" s="42" customFormat="1" ht="15.75" customHeight="1">
      <c r="A370" s="71" t="s">
        <v>74</v>
      </c>
      <c r="B370" s="66" t="s">
        <v>142</v>
      </c>
      <c r="C370" s="56">
        <v>3</v>
      </c>
      <c r="D370" s="56" t="s">
        <v>142</v>
      </c>
      <c r="E370" s="56" t="s">
        <v>142</v>
      </c>
      <c r="F370" s="56" t="s">
        <v>265</v>
      </c>
      <c r="G370" s="56">
        <v>7</v>
      </c>
      <c r="H370" s="56">
        <v>3</v>
      </c>
      <c r="I370" s="56" t="s">
        <v>142</v>
      </c>
      <c r="J370" s="56" t="s">
        <v>142</v>
      </c>
      <c r="K370" s="57" t="s">
        <v>142</v>
      </c>
      <c r="L370" s="125"/>
      <c r="M370" s="184">
        <v>12</v>
      </c>
      <c r="N370" s="185"/>
      <c r="O370" s="56"/>
      <c r="P370" s="56"/>
      <c r="Q370" s="56"/>
      <c r="R370" s="57"/>
      <c r="S370" s="60"/>
      <c r="T370" s="61"/>
      <c r="U370" s="62"/>
      <c r="V370" s="109" t="s">
        <v>142</v>
      </c>
      <c r="W370" s="63">
        <f>IF(B370="-",0,B370)*(140+IF(V370="-",0,V370))</f>
        <v>0</v>
      </c>
      <c r="X370" s="70" t="s">
        <v>398</v>
      </c>
    </row>
    <row r="371" spans="1:24" s="42" customFormat="1" ht="15.75" customHeight="1">
      <c r="A371" s="71" t="s">
        <v>317</v>
      </c>
      <c r="B371" s="72" t="str">
        <f>IF(B370="-","-",B370*3)</f>
        <v>-</v>
      </c>
      <c r="C371" s="56">
        <v>3</v>
      </c>
      <c r="D371" s="56">
        <v>4</v>
      </c>
      <c r="E371" s="56">
        <v>3</v>
      </c>
      <c r="F371" s="56">
        <v>3</v>
      </c>
      <c r="G371" s="56">
        <v>4</v>
      </c>
      <c r="H371" s="56">
        <v>1</v>
      </c>
      <c r="I371" s="56">
        <v>2</v>
      </c>
      <c r="J371" s="56">
        <v>1</v>
      </c>
      <c r="K371" s="57">
        <v>9</v>
      </c>
      <c r="L371" s="125"/>
      <c r="M371" s="59"/>
      <c r="N371" s="56"/>
      <c r="O371" s="56">
        <v>1</v>
      </c>
      <c r="P371" s="56" t="s">
        <v>142</v>
      </c>
      <c r="Q371" s="56" t="s">
        <v>113</v>
      </c>
      <c r="R371" s="57" t="s">
        <v>142</v>
      </c>
      <c r="S371" s="60" t="s">
        <v>197</v>
      </c>
      <c r="T371" s="69">
        <v>1</v>
      </c>
      <c r="U371" s="62"/>
      <c r="V371" s="63"/>
      <c r="W371" s="63"/>
      <c r="X371" s="73" t="s">
        <v>402</v>
      </c>
    </row>
    <row r="372" spans="1:24" s="42" customFormat="1" ht="15.75" customHeight="1">
      <c r="A372" s="71"/>
      <c r="B372" s="56"/>
      <c r="C372" s="56"/>
      <c r="D372" s="56"/>
      <c r="E372" s="56"/>
      <c r="F372" s="56"/>
      <c r="G372" s="56"/>
      <c r="H372" s="56"/>
      <c r="I372" s="56"/>
      <c r="J372" s="56"/>
      <c r="K372" s="57"/>
      <c r="L372" s="125"/>
      <c r="M372" s="59"/>
      <c r="N372" s="59"/>
      <c r="O372" s="56"/>
      <c r="P372" s="56"/>
      <c r="Q372" s="56"/>
      <c r="R372" s="57"/>
      <c r="S372" s="60"/>
      <c r="T372" s="61"/>
      <c r="U372" s="62"/>
      <c r="V372" s="63"/>
      <c r="W372" s="63"/>
      <c r="X372" s="73" t="s">
        <v>284</v>
      </c>
    </row>
    <row r="373" spans="1:24" s="42" customFormat="1" ht="15.75" customHeight="1">
      <c r="A373" s="71"/>
      <c r="B373" s="56"/>
      <c r="C373" s="56"/>
      <c r="D373" s="56"/>
      <c r="E373" s="56"/>
      <c r="F373" s="56"/>
      <c r="G373" s="56"/>
      <c r="H373" s="56"/>
      <c r="I373" s="56"/>
      <c r="J373" s="56"/>
      <c r="K373" s="57"/>
      <c r="L373" s="125"/>
      <c r="M373" s="59"/>
      <c r="N373" s="59"/>
      <c r="O373" s="56"/>
      <c r="P373" s="56"/>
      <c r="Q373" s="56"/>
      <c r="R373" s="57"/>
      <c r="S373" s="60"/>
      <c r="T373" s="61"/>
      <c r="U373" s="62"/>
      <c r="V373" s="63"/>
      <c r="W373" s="63"/>
      <c r="X373" s="73" t="s">
        <v>285</v>
      </c>
    </row>
    <row r="374" spans="1:24" s="42" customFormat="1" ht="15.75" customHeight="1">
      <c r="A374" s="71"/>
      <c r="B374" s="56"/>
      <c r="C374" s="56"/>
      <c r="D374" s="56"/>
      <c r="E374" s="56"/>
      <c r="F374" s="56"/>
      <c r="G374" s="56"/>
      <c r="H374" s="56"/>
      <c r="I374" s="56"/>
      <c r="J374" s="56"/>
      <c r="K374" s="57"/>
      <c r="L374" s="125"/>
      <c r="M374" s="59"/>
      <c r="N374" s="59"/>
      <c r="O374" s="56"/>
      <c r="P374" s="56"/>
      <c r="Q374" s="56"/>
      <c r="R374" s="57"/>
      <c r="S374" s="60"/>
      <c r="T374" s="61"/>
      <c r="U374" s="62"/>
      <c r="V374" s="63"/>
      <c r="W374" s="63"/>
      <c r="X374" s="73" t="s">
        <v>286</v>
      </c>
    </row>
    <row r="375" spans="1:24" s="42" customFormat="1" ht="15.75" customHeight="1">
      <c r="A375" s="71"/>
      <c r="B375" s="56"/>
      <c r="C375" s="56"/>
      <c r="D375" s="56"/>
      <c r="E375" s="56"/>
      <c r="F375" s="56"/>
      <c r="G375" s="56"/>
      <c r="H375" s="56"/>
      <c r="I375" s="56"/>
      <c r="J375" s="56"/>
      <c r="K375" s="57"/>
      <c r="L375" s="125"/>
      <c r="M375" s="59"/>
      <c r="N375" s="59"/>
      <c r="O375" s="56"/>
      <c r="P375" s="56"/>
      <c r="Q375" s="56"/>
      <c r="R375" s="57"/>
      <c r="S375" s="60"/>
      <c r="T375" s="61"/>
      <c r="U375" s="62"/>
      <c r="V375" s="63"/>
      <c r="W375" s="63"/>
      <c r="X375" s="73" t="s">
        <v>287</v>
      </c>
    </row>
    <row r="376" spans="1:24" s="42" customFormat="1" ht="15.75" customHeight="1">
      <c r="A376" s="71"/>
      <c r="B376" s="56"/>
      <c r="C376" s="56"/>
      <c r="D376" s="56"/>
      <c r="E376" s="56"/>
      <c r="F376" s="56"/>
      <c r="G376" s="56"/>
      <c r="H376" s="56"/>
      <c r="I376" s="56"/>
      <c r="J376" s="56"/>
      <c r="K376" s="57"/>
      <c r="L376" s="125"/>
      <c r="M376" s="59"/>
      <c r="N376" s="59"/>
      <c r="O376" s="56"/>
      <c r="P376" s="56"/>
      <c r="Q376" s="56"/>
      <c r="R376" s="57"/>
      <c r="S376" s="60"/>
      <c r="T376" s="61"/>
      <c r="U376" s="62"/>
      <c r="V376" s="63"/>
      <c r="W376" s="63"/>
      <c r="X376" s="73"/>
    </row>
    <row r="377" spans="1:24" s="42" customFormat="1" ht="15.75" customHeight="1">
      <c r="A377" s="71"/>
      <c r="B377" s="56"/>
      <c r="C377" s="56"/>
      <c r="D377" s="56"/>
      <c r="E377" s="56"/>
      <c r="F377" s="56"/>
      <c r="G377" s="56"/>
      <c r="H377" s="56"/>
      <c r="I377" s="56"/>
      <c r="J377" s="56"/>
      <c r="K377" s="57"/>
      <c r="L377" s="125"/>
      <c r="M377" s="61"/>
      <c r="N377" s="59"/>
      <c r="O377" s="56"/>
      <c r="P377" s="56"/>
      <c r="Q377" s="56"/>
      <c r="R377" s="57"/>
      <c r="S377" s="60"/>
      <c r="T377" s="61"/>
      <c r="U377" s="62"/>
      <c r="V377" s="63"/>
      <c r="W377" s="63"/>
      <c r="X377" s="73"/>
    </row>
    <row r="378" spans="1:24" s="193" customFormat="1" ht="15.75" customHeight="1">
      <c r="A378" s="55" t="s">
        <v>321</v>
      </c>
      <c r="B378" s="66" t="s">
        <v>142</v>
      </c>
      <c r="C378" s="56">
        <v>3</v>
      </c>
      <c r="D378" s="56" t="s">
        <v>142</v>
      </c>
      <c r="E378" s="56" t="s">
        <v>142</v>
      </c>
      <c r="F378" s="56" t="s">
        <v>211</v>
      </c>
      <c r="G378" s="56">
        <v>7</v>
      </c>
      <c r="H378" s="56">
        <v>3</v>
      </c>
      <c r="I378" s="56" t="s">
        <v>142</v>
      </c>
      <c r="J378" s="56" t="s">
        <v>142</v>
      </c>
      <c r="K378" s="57" t="s">
        <v>142</v>
      </c>
      <c r="L378" s="125"/>
      <c r="M378" s="184">
        <v>48</v>
      </c>
      <c r="N378" s="185"/>
      <c r="O378" s="56"/>
      <c r="P378" s="56"/>
      <c r="Q378" s="56"/>
      <c r="R378" s="57"/>
      <c r="S378" s="60"/>
      <c r="T378" s="61"/>
      <c r="U378" s="62"/>
      <c r="V378" s="63"/>
      <c r="W378" s="63">
        <f>IF(B378="-",0,B378)*130</f>
        <v>0</v>
      </c>
      <c r="X378" s="70" t="s">
        <v>247</v>
      </c>
    </row>
    <row r="379" spans="1:24" s="193" customFormat="1" ht="15.75" customHeight="1">
      <c r="A379" s="71" t="s">
        <v>342</v>
      </c>
      <c r="B379" s="72" t="str">
        <f>IF(B378="-","-",B378)</f>
        <v>-</v>
      </c>
      <c r="C379" s="56">
        <v>3</v>
      </c>
      <c r="D379" s="56">
        <v>5</v>
      </c>
      <c r="E379" s="56">
        <v>5</v>
      </c>
      <c r="F379" s="56">
        <v>4</v>
      </c>
      <c r="G379" s="56">
        <v>4</v>
      </c>
      <c r="H379" s="56">
        <v>2</v>
      </c>
      <c r="I379" s="56">
        <v>3</v>
      </c>
      <c r="J379" s="56">
        <v>3</v>
      </c>
      <c r="K379" s="57">
        <v>10</v>
      </c>
      <c r="L379" s="125"/>
      <c r="M379" s="59"/>
      <c r="N379" s="56"/>
      <c r="O379" s="56" t="s">
        <v>142</v>
      </c>
      <c r="P379" s="56">
        <v>1</v>
      </c>
      <c r="Q379" s="56" t="s">
        <v>142</v>
      </c>
      <c r="R379" s="57" t="s">
        <v>142</v>
      </c>
      <c r="S379" s="60"/>
      <c r="T379" s="61"/>
      <c r="U379" s="62"/>
      <c r="V379" s="63"/>
      <c r="W379" s="63" t="s">
        <v>142</v>
      </c>
      <c r="X379" s="70" t="s">
        <v>137</v>
      </c>
    </row>
    <row r="380" spans="1:24" s="193" customFormat="1" ht="15.75" customHeight="1">
      <c r="A380" s="71"/>
      <c r="B380" s="72"/>
      <c r="C380" s="56"/>
      <c r="D380" s="56"/>
      <c r="E380" s="56"/>
      <c r="F380" s="56"/>
      <c r="G380" s="56"/>
      <c r="H380" s="56"/>
      <c r="I380" s="56"/>
      <c r="J380" s="56"/>
      <c r="K380" s="57"/>
      <c r="L380" s="125"/>
      <c r="M380" s="59"/>
      <c r="N380" s="56"/>
      <c r="O380" s="56"/>
      <c r="P380" s="56"/>
      <c r="Q380" s="56"/>
      <c r="R380" s="57"/>
      <c r="S380" s="60"/>
      <c r="T380" s="61"/>
      <c r="U380" s="62"/>
      <c r="V380" s="63"/>
      <c r="W380" s="63"/>
      <c r="X380" s="70" t="s">
        <v>275</v>
      </c>
    </row>
    <row r="381" spans="1:24" s="193" customFormat="1" ht="15.75" customHeight="1">
      <c r="A381" s="71" t="s">
        <v>78</v>
      </c>
      <c r="B381" s="72" t="str">
        <f>IF(B378="-","-",B378*2)</f>
        <v>-</v>
      </c>
      <c r="C381" s="56">
        <v>3</v>
      </c>
      <c r="D381" s="56">
        <v>4</v>
      </c>
      <c r="E381" s="56">
        <v>3</v>
      </c>
      <c r="F381" s="56">
        <v>3</v>
      </c>
      <c r="G381" s="56">
        <v>4</v>
      </c>
      <c r="H381" s="56">
        <v>1</v>
      </c>
      <c r="I381" s="56">
        <v>2</v>
      </c>
      <c r="J381" s="56">
        <v>1</v>
      </c>
      <c r="K381" s="57">
        <v>10</v>
      </c>
      <c r="L381" s="125"/>
      <c r="M381" s="59"/>
      <c r="N381" s="56"/>
      <c r="O381" s="56">
        <v>2</v>
      </c>
      <c r="P381" s="56">
        <v>1</v>
      </c>
      <c r="Q381" s="56" t="s">
        <v>142</v>
      </c>
      <c r="R381" s="57" t="s">
        <v>142</v>
      </c>
      <c r="S381" s="60"/>
      <c r="T381" s="61"/>
      <c r="U381" s="62"/>
      <c r="V381" s="63"/>
      <c r="W381" s="63" t="s">
        <v>142</v>
      </c>
      <c r="X381" s="70" t="s">
        <v>316</v>
      </c>
    </row>
    <row r="382" spans="1:24" s="193" customFormat="1" ht="15.75" customHeight="1">
      <c r="A382" s="194"/>
      <c r="B382" s="195"/>
      <c r="C382" s="127"/>
      <c r="D382" s="127"/>
      <c r="E382" s="127"/>
      <c r="F382" s="127"/>
      <c r="G382" s="127"/>
      <c r="H382" s="127"/>
      <c r="I382" s="127"/>
      <c r="J382" s="127"/>
      <c r="K382" s="128"/>
      <c r="L382" s="129"/>
      <c r="M382" s="130"/>
      <c r="N382" s="127"/>
      <c r="O382" s="127"/>
      <c r="P382" s="127"/>
      <c r="Q382" s="127"/>
      <c r="R382" s="128"/>
      <c r="S382" s="96"/>
      <c r="T382" s="159"/>
      <c r="U382" s="133"/>
      <c r="V382" s="134"/>
      <c r="W382" s="134"/>
      <c r="X382" s="196"/>
    </row>
    <row r="383" spans="1:24" s="193" customFormat="1" ht="15.75" customHeight="1">
      <c r="A383" s="194"/>
      <c r="B383" s="195"/>
      <c r="C383" s="127"/>
      <c r="D383" s="127"/>
      <c r="E383" s="127"/>
      <c r="F383" s="127"/>
      <c r="G383" s="127"/>
      <c r="H383" s="127"/>
      <c r="I383" s="127"/>
      <c r="J383" s="127"/>
      <c r="K383" s="128"/>
      <c r="L383" s="129"/>
      <c r="M383" s="130"/>
      <c r="N383" s="127"/>
      <c r="O383" s="127"/>
      <c r="P383" s="127"/>
      <c r="Q383" s="127"/>
      <c r="R383" s="128"/>
      <c r="S383" s="96"/>
      <c r="T383" s="159"/>
      <c r="U383" s="133"/>
      <c r="V383" s="134"/>
      <c r="W383" s="134"/>
      <c r="X383" s="196"/>
    </row>
    <row r="384" spans="1:24" s="193" customFormat="1" ht="15.75" customHeight="1">
      <c r="A384" s="194" t="s">
        <v>163</v>
      </c>
      <c r="B384" s="66" t="s">
        <v>142</v>
      </c>
      <c r="C384" s="56" t="s">
        <v>142</v>
      </c>
      <c r="D384" s="56" t="s">
        <v>142</v>
      </c>
      <c r="E384" s="56" t="s">
        <v>142</v>
      </c>
      <c r="F384" s="56" t="s">
        <v>142</v>
      </c>
      <c r="G384" s="127">
        <v>6</v>
      </c>
      <c r="H384" s="127">
        <v>6</v>
      </c>
      <c r="I384" s="56" t="s">
        <v>142</v>
      </c>
      <c r="J384" s="56" t="s">
        <v>142</v>
      </c>
      <c r="K384" s="56" t="s">
        <v>142</v>
      </c>
      <c r="L384" s="129"/>
      <c r="M384" s="130"/>
      <c r="N384" s="127"/>
      <c r="O384" s="127"/>
      <c r="P384" s="127"/>
      <c r="Q384" s="127"/>
      <c r="R384" s="128"/>
      <c r="S384" s="96"/>
      <c r="T384" s="159"/>
      <c r="U384" s="133" t="s">
        <v>197</v>
      </c>
      <c r="V384" s="134"/>
      <c r="W384" s="63">
        <f>IF(B384="-",0,B384)*350</f>
        <v>0</v>
      </c>
      <c r="X384" s="196" t="s">
        <v>164</v>
      </c>
    </row>
    <row r="385" spans="1:24" s="193" customFormat="1" ht="15.75" customHeight="1">
      <c r="A385" s="71" t="s">
        <v>317</v>
      </c>
      <c r="B385" s="72" t="str">
        <f>IF(B384="-","-",6)</f>
        <v>-</v>
      </c>
      <c r="C385" s="56">
        <v>4</v>
      </c>
      <c r="D385" s="56">
        <v>4</v>
      </c>
      <c r="E385" s="56">
        <v>3</v>
      </c>
      <c r="F385" s="56">
        <v>3</v>
      </c>
      <c r="G385" s="56">
        <v>4</v>
      </c>
      <c r="H385" s="56">
        <v>1</v>
      </c>
      <c r="I385" s="56">
        <v>2</v>
      </c>
      <c r="J385" s="56">
        <v>1</v>
      </c>
      <c r="K385" s="57">
        <v>10</v>
      </c>
      <c r="L385" s="129"/>
      <c r="M385" s="130"/>
      <c r="N385" s="127"/>
      <c r="O385" s="56">
        <v>1</v>
      </c>
      <c r="P385" s="56" t="s">
        <v>142</v>
      </c>
      <c r="Q385" s="56" t="s">
        <v>113</v>
      </c>
      <c r="R385" s="57" t="s">
        <v>142</v>
      </c>
      <c r="S385" s="60" t="s">
        <v>197</v>
      </c>
      <c r="T385" s="159"/>
      <c r="U385" s="133"/>
      <c r="V385" s="134"/>
      <c r="W385" s="134"/>
      <c r="X385" s="70" t="s">
        <v>365</v>
      </c>
    </row>
    <row r="386" spans="1:24" s="193" customFormat="1" ht="15.75" customHeight="1">
      <c r="A386" s="71" t="s">
        <v>73</v>
      </c>
      <c r="B386" s="56" t="s">
        <v>142</v>
      </c>
      <c r="C386" s="56" t="s">
        <v>142</v>
      </c>
      <c r="D386" s="56" t="s">
        <v>142</v>
      </c>
      <c r="E386" s="56" t="s">
        <v>142</v>
      </c>
      <c r="F386" s="56" t="s">
        <v>265</v>
      </c>
      <c r="G386" s="56" t="s">
        <v>142</v>
      </c>
      <c r="H386" s="56" t="s">
        <v>142</v>
      </c>
      <c r="I386" s="56" t="s">
        <v>142</v>
      </c>
      <c r="J386" s="56" t="s">
        <v>142</v>
      </c>
      <c r="K386" s="57" t="s">
        <v>142</v>
      </c>
      <c r="L386" s="125"/>
      <c r="M386" s="184">
        <v>24</v>
      </c>
      <c r="N386" s="185"/>
      <c r="O386" s="56"/>
      <c r="P386" s="56"/>
      <c r="Q386" s="56"/>
      <c r="R386" s="57"/>
      <c r="S386" s="60"/>
      <c r="T386" s="61"/>
      <c r="U386" s="62"/>
      <c r="V386" s="63"/>
      <c r="W386" s="63"/>
      <c r="X386" s="70" t="s">
        <v>216</v>
      </c>
    </row>
    <row r="387" spans="1:24" s="193" customFormat="1" ht="15.75" customHeight="1">
      <c r="A387" s="194"/>
      <c r="B387" s="195"/>
      <c r="C387" s="127"/>
      <c r="D387" s="127"/>
      <c r="E387" s="127"/>
      <c r="F387" s="127"/>
      <c r="G387" s="127"/>
      <c r="H387" s="127"/>
      <c r="I387" s="127"/>
      <c r="J387" s="127"/>
      <c r="K387" s="128"/>
      <c r="L387" s="129"/>
      <c r="M387" s="130"/>
      <c r="N387" s="127"/>
      <c r="O387" s="127"/>
      <c r="P387" s="127"/>
      <c r="Q387" s="127"/>
      <c r="R387" s="128"/>
      <c r="S387" s="96"/>
      <c r="T387" s="159"/>
      <c r="U387" s="133"/>
      <c r="V387" s="134"/>
      <c r="W387" s="134"/>
      <c r="X387" s="70" t="s">
        <v>75</v>
      </c>
    </row>
    <row r="388" spans="1:24" s="193" customFormat="1" ht="15.75" customHeight="1">
      <c r="A388" s="71" t="s">
        <v>165</v>
      </c>
      <c r="B388" s="56" t="s">
        <v>142</v>
      </c>
      <c r="C388" s="56" t="s">
        <v>142</v>
      </c>
      <c r="D388" s="56" t="s">
        <v>142</v>
      </c>
      <c r="E388" s="56" t="s">
        <v>142</v>
      </c>
      <c r="F388" s="67" t="s">
        <v>166</v>
      </c>
      <c r="G388" s="56" t="s">
        <v>142</v>
      </c>
      <c r="H388" s="56" t="s">
        <v>142</v>
      </c>
      <c r="I388" s="56" t="s">
        <v>142</v>
      </c>
      <c r="J388" s="56" t="s">
        <v>142</v>
      </c>
      <c r="K388" s="57" t="s">
        <v>142</v>
      </c>
      <c r="L388" s="58"/>
      <c r="M388" s="188" t="s">
        <v>167</v>
      </c>
      <c r="N388" s="189"/>
      <c r="O388" s="56"/>
      <c r="P388" s="56"/>
      <c r="Q388" s="56"/>
      <c r="R388" s="57"/>
      <c r="S388" s="60"/>
      <c r="T388" s="61"/>
      <c r="U388" s="62"/>
      <c r="V388" s="134"/>
      <c r="W388" s="63"/>
      <c r="X388" s="70" t="s">
        <v>72</v>
      </c>
    </row>
    <row r="389" spans="1:24" s="193" customFormat="1" ht="15.75" customHeight="1">
      <c r="A389" s="194"/>
      <c r="B389" s="195"/>
      <c r="C389" s="127"/>
      <c r="D389" s="127"/>
      <c r="E389" s="127"/>
      <c r="F389" s="127"/>
      <c r="G389" s="127"/>
      <c r="H389" s="127"/>
      <c r="I389" s="127"/>
      <c r="J389" s="127"/>
      <c r="K389" s="128"/>
      <c r="L389" s="129"/>
      <c r="M389" s="130"/>
      <c r="N389" s="127"/>
      <c r="O389" s="127"/>
      <c r="P389" s="127"/>
      <c r="Q389" s="127"/>
      <c r="R389" s="128"/>
      <c r="S389" s="96"/>
      <c r="T389" s="159"/>
      <c r="U389" s="133"/>
      <c r="V389" s="134"/>
      <c r="W389" s="134"/>
      <c r="X389" s="196" t="s">
        <v>129</v>
      </c>
    </row>
    <row r="390" spans="1:24" s="193" customFormat="1" ht="15.75" customHeight="1">
      <c r="A390" s="194"/>
      <c r="B390" s="195"/>
      <c r="C390" s="127"/>
      <c r="D390" s="127"/>
      <c r="E390" s="127"/>
      <c r="F390" s="127"/>
      <c r="G390" s="127"/>
      <c r="H390" s="127"/>
      <c r="I390" s="127"/>
      <c r="J390" s="127"/>
      <c r="K390" s="128"/>
      <c r="L390" s="129"/>
      <c r="M390" s="130"/>
      <c r="N390" s="127"/>
      <c r="O390" s="127"/>
      <c r="P390" s="127"/>
      <c r="Q390" s="127"/>
      <c r="R390" s="128"/>
      <c r="S390" s="96"/>
      <c r="T390" s="159"/>
      <c r="U390" s="133"/>
      <c r="V390" s="134"/>
      <c r="W390" s="134"/>
      <c r="X390" s="196" t="s">
        <v>363</v>
      </c>
    </row>
    <row r="391" spans="1:24" s="193" customFormat="1" ht="15.75" customHeight="1">
      <c r="A391" s="194"/>
      <c r="B391" s="195"/>
      <c r="C391" s="127"/>
      <c r="D391" s="127"/>
      <c r="E391" s="127"/>
      <c r="F391" s="127"/>
      <c r="G391" s="127"/>
      <c r="H391" s="127"/>
      <c r="I391" s="127"/>
      <c r="J391" s="127"/>
      <c r="K391" s="128"/>
      <c r="L391" s="129"/>
      <c r="M391" s="130"/>
      <c r="N391" s="127"/>
      <c r="O391" s="127"/>
      <c r="P391" s="127"/>
      <c r="Q391" s="127"/>
      <c r="R391" s="128"/>
      <c r="S391" s="96"/>
      <c r="T391" s="159"/>
      <c r="U391" s="133"/>
      <c r="V391" s="134"/>
      <c r="W391" s="134"/>
      <c r="X391" s="197" t="s">
        <v>366</v>
      </c>
    </row>
    <row r="392" spans="1:24" s="193" customFormat="1" ht="15.75" customHeight="1">
      <c r="A392" s="126"/>
      <c r="B392" s="195"/>
      <c r="C392" s="127"/>
      <c r="D392" s="127"/>
      <c r="E392" s="127"/>
      <c r="F392" s="127"/>
      <c r="G392" s="127"/>
      <c r="H392" s="127"/>
      <c r="I392" s="127"/>
      <c r="J392" s="127"/>
      <c r="K392" s="128"/>
      <c r="L392" s="129"/>
      <c r="M392" s="130"/>
      <c r="N392" s="127"/>
      <c r="O392" s="127"/>
      <c r="P392" s="127"/>
      <c r="Q392" s="127"/>
      <c r="R392" s="128"/>
      <c r="S392" s="96"/>
      <c r="T392" s="159"/>
      <c r="U392" s="133"/>
      <c r="V392" s="134"/>
      <c r="W392" s="134"/>
      <c r="X392" s="197" t="s">
        <v>364</v>
      </c>
    </row>
    <row r="393" spans="1:24" s="193" customFormat="1" ht="15.75" customHeight="1">
      <c r="A393" s="126"/>
      <c r="B393" s="195"/>
      <c r="C393" s="127"/>
      <c r="D393" s="127"/>
      <c r="E393" s="127"/>
      <c r="F393" s="127"/>
      <c r="G393" s="127"/>
      <c r="H393" s="127"/>
      <c r="I393" s="127"/>
      <c r="J393" s="127"/>
      <c r="K393" s="128"/>
      <c r="L393" s="129"/>
      <c r="M393" s="130"/>
      <c r="N393" s="127"/>
      <c r="O393" s="127"/>
      <c r="P393" s="127"/>
      <c r="Q393" s="127"/>
      <c r="R393" s="128"/>
      <c r="S393" s="96"/>
      <c r="T393" s="159"/>
      <c r="U393" s="133"/>
      <c r="V393" s="134"/>
      <c r="W393" s="134"/>
      <c r="X393" s="196"/>
    </row>
    <row r="394" spans="1:24" s="193" customFormat="1" ht="15.75" customHeight="1">
      <c r="A394" s="194"/>
      <c r="B394" s="195"/>
      <c r="C394" s="127"/>
      <c r="D394" s="127"/>
      <c r="E394" s="127"/>
      <c r="F394" s="127"/>
      <c r="G394" s="127"/>
      <c r="H394" s="127"/>
      <c r="I394" s="127"/>
      <c r="J394" s="127"/>
      <c r="K394" s="128"/>
      <c r="L394" s="129"/>
      <c r="M394" s="130"/>
      <c r="N394" s="127"/>
      <c r="O394" s="127"/>
      <c r="P394" s="127"/>
      <c r="Q394" s="127"/>
      <c r="R394" s="128"/>
      <c r="S394" s="96"/>
      <c r="T394" s="159"/>
      <c r="U394" s="133"/>
      <c r="V394" s="134"/>
      <c r="W394" s="134"/>
      <c r="X394" s="196"/>
    </row>
    <row r="395" spans="1:24" s="42" customFormat="1" ht="15.75" customHeight="1" thickBot="1">
      <c r="A395" s="198"/>
      <c r="B395" s="199"/>
      <c r="C395" s="200"/>
      <c r="D395" s="200"/>
      <c r="E395" s="200"/>
      <c r="F395" s="200"/>
      <c r="G395" s="200"/>
      <c r="H395" s="200"/>
      <c r="I395" s="200"/>
      <c r="J395" s="200"/>
      <c r="K395" s="201"/>
      <c r="L395" s="202"/>
      <c r="M395" s="203"/>
      <c r="N395" s="200"/>
      <c r="O395" s="200"/>
      <c r="P395" s="200"/>
      <c r="Q395" s="200"/>
      <c r="R395" s="201"/>
      <c r="S395" s="204"/>
      <c r="T395" s="205"/>
      <c r="U395" s="206"/>
      <c r="V395" s="207"/>
      <c r="W395" s="207"/>
      <c r="X395" s="208"/>
    </row>
    <row r="396" spans="1:24" s="42" customFormat="1" ht="13.5" customHeight="1">
      <c r="A396" s="209"/>
      <c r="B396" s="210"/>
      <c r="C396" s="211"/>
      <c r="D396" s="211"/>
      <c r="E396" s="211"/>
      <c r="F396" s="211"/>
      <c r="G396" s="211"/>
      <c r="H396" s="211"/>
      <c r="I396" s="211"/>
      <c r="J396" s="211"/>
      <c r="K396" s="212"/>
      <c r="L396" s="213"/>
      <c r="M396" s="214"/>
      <c r="N396" s="215"/>
      <c r="O396" s="215"/>
      <c r="P396" s="215"/>
      <c r="Q396" s="215"/>
      <c r="R396" s="215" t="s">
        <v>224</v>
      </c>
      <c r="S396" s="215"/>
      <c r="T396" s="215"/>
      <c r="U396" s="215"/>
      <c r="V396" s="216">
        <f>SUM(W10:W395)</f>
        <v>0</v>
      </c>
      <c r="W396" s="217"/>
      <c r="X396" s="218"/>
    </row>
    <row r="397" spans="1:24" s="42" customFormat="1" ht="12">
      <c r="A397" s="219"/>
      <c r="N397" s="220"/>
      <c r="O397" s="220"/>
      <c r="P397" s="220"/>
      <c r="Q397" s="220"/>
      <c r="R397" s="220"/>
      <c r="S397" s="220"/>
      <c r="T397" s="220"/>
      <c r="U397" s="220"/>
      <c r="V397" s="220"/>
      <c r="W397" s="220"/>
      <c r="X397" s="219"/>
    </row>
    <row r="398" spans="1:24" ht="25.5" customHeight="1">
      <c r="A398" s="39" t="s">
        <v>220</v>
      </c>
      <c r="B398" s="5" t="s">
        <v>219</v>
      </c>
      <c r="C398" s="5"/>
      <c r="D398" s="5"/>
      <c r="E398" s="5"/>
      <c r="F398" s="5"/>
      <c r="G398" s="5"/>
      <c r="H398" s="5"/>
      <c r="I398" s="5"/>
      <c r="J398" s="11" t="s">
        <v>300</v>
      </c>
      <c r="K398" s="11"/>
      <c r="L398" s="11"/>
      <c r="M398" s="11"/>
      <c r="N398" s="11"/>
      <c r="O398" s="11"/>
      <c r="P398" s="11"/>
      <c r="Q398" s="11"/>
      <c r="R398" s="11"/>
      <c r="S398" s="27"/>
      <c r="T398" s="11"/>
      <c r="U398" s="11"/>
      <c r="W398" s="11"/>
      <c r="X398" s="11" t="s">
        <v>264</v>
      </c>
    </row>
    <row r="399" spans="1:24" ht="25.5" customHeight="1">
      <c r="A399" s="39"/>
      <c r="B399" s="5" t="s">
        <v>291</v>
      </c>
      <c r="C399" s="5"/>
      <c r="D399" s="5"/>
      <c r="E399" s="5"/>
      <c r="F399" s="5"/>
      <c r="G399" s="5"/>
      <c r="H399" s="5"/>
      <c r="I399" s="5"/>
      <c r="J399" s="11"/>
      <c r="K399" s="11" t="s">
        <v>228</v>
      </c>
      <c r="L399" s="11"/>
      <c r="M399" s="11"/>
      <c r="N399" s="11"/>
      <c r="O399" s="11"/>
      <c r="P399" s="11"/>
      <c r="Q399" s="11"/>
      <c r="R399" s="11"/>
      <c r="S399" s="27"/>
      <c r="T399" s="11"/>
      <c r="U399" s="11"/>
      <c r="V399" s="11"/>
      <c r="W399" s="11"/>
      <c r="X399" s="11"/>
    </row>
    <row r="400" spans="1:24" ht="25.5" customHeight="1">
      <c r="A400" s="32" t="s">
        <v>161</v>
      </c>
      <c r="B400" s="5" t="s">
        <v>248</v>
      </c>
      <c r="C400" s="5"/>
      <c r="D400" s="5"/>
      <c r="E400" s="5"/>
      <c r="F400" s="5"/>
      <c r="G400" s="5"/>
      <c r="H400" s="5"/>
      <c r="I400" s="5"/>
      <c r="J400" s="5" t="s">
        <v>102</v>
      </c>
      <c r="K400" s="5"/>
      <c r="L400" s="5"/>
      <c r="M400" s="5"/>
      <c r="N400" s="5"/>
      <c r="O400" s="5"/>
      <c r="P400" s="5"/>
      <c r="Q400" s="5"/>
      <c r="S400" s="16" t="s">
        <v>367</v>
      </c>
      <c r="T400" s="5"/>
      <c r="U400" s="5"/>
      <c r="V400" s="5"/>
      <c r="W400" s="5"/>
      <c r="X400" s="11"/>
    </row>
    <row r="401" spans="1:24" ht="25.5" customHeight="1">
      <c r="A401" s="17"/>
      <c r="B401" s="5" t="s">
        <v>249</v>
      </c>
      <c r="C401" s="5"/>
      <c r="D401" s="5"/>
      <c r="E401" s="5"/>
      <c r="F401" s="5"/>
      <c r="G401" s="5"/>
      <c r="H401" s="5"/>
      <c r="I401" s="5"/>
      <c r="J401" s="5" t="s">
        <v>158</v>
      </c>
      <c r="K401" s="5"/>
      <c r="L401" s="5"/>
      <c r="M401" s="5"/>
      <c r="N401" s="5"/>
      <c r="O401" s="5"/>
      <c r="P401" s="5"/>
      <c r="Q401" s="5"/>
      <c r="S401" s="28" t="s">
        <v>305</v>
      </c>
      <c r="T401" s="5"/>
      <c r="U401" s="5"/>
      <c r="V401" s="5"/>
      <c r="W401" s="5"/>
      <c r="X401" s="5"/>
    </row>
    <row r="402" spans="1:24" ht="25.5" customHeight="1">
      <c r="A402" s="33"/>
      <c r="B402" s="5" t="s">
        <v>251</v>
      </c>
      <c r="C402" s="5"/>
      <c r="D402" s="5"/>
      <c r="E402" s="5"/>
      <c r="F402" s="5"/>
      <c r="G402" s="5"/>
      <c r="H402" s="5"/>
      <c r="I402" s="5"/>
      <c r="J402" s="5" t="s">
        <v>195</v>
      </c>
      <c r="K402" s="5"/>
      <c r="L402" s="5"/>
      <c r="M402" s="5"/>
      <c r="N402" s="5"/>
      <c r="O402" s="5"/>
      <c r="P402" s="5"/>
      <c r="R402" s="5"/>
      <c r="S402" s="16" t="s">
        <v>319</v>
      </c>
      <c r="T402" s="5"/>
      <c r="U402" s="5"/>
      <c r="V402" s="5"/>
      <c r="W402" s="5"/>
      <c r="X402" s="5"/>
    </row>
    <row r="403" ht="25.5" customHeight="1"/>
    <row r="404" ht="25.5" customHeight="1"/>
    <row r="405" ht="25.5" customHeight="1">
      <c r="A405" s="15" t="s">
        <v>349</v>
      </c>
    </row>
    <row r="406" spans="25:28" ht="25.5" customHeight="1">
      <c r="Y406" s="1">
        <v>1</v>
      </c>
      <c r="Z406" s="1">
        <v>2</v>
      </c>
      <c r="AA406" s="1">
        <v>1</v>
      </c>
      <c r="AB406" s="1">
        <v>2</v>
      </c>
    </row>
    <row r="407" spans="25:27" ht="25.5" customHeight="1">
      <c r="Y407" t="s">
        <v>112</v>
      </c>
      <c r="AA407" s="2" t="s">
        <v>294</v>
      </c>
    </row>
    <row r="408" spans="25:28" ht="25.5" customHeight="1">
      <c r="Y408" s="12" t="s">
        <v>142</v>
      </c>
      <c r="Z408" s="1">
        <v>0</v>
      </c>
      <c r="AA408" s="12" t="s">
        <v>142</v>
      </c>
      <c r="AB408" s="1">
        <v>1</v>
      </c>
    </row>
    <row r="409" spans="25:28" ht="25.5" customHeight="1">
      <c r="Y409" s="12" t="s">
        <v>113</v>
      </c>
      <c r="Z409" s="1">
        <v>1</v>
      </c>
      <c r="AA409" s="1" t="s">
        <v>113</v>
      </c>
      <c r="AB409" s="1">
        <v>2</v>
      </c>
    </row>
    <row r="410" spans="25:28" ht="25.5" customHeight="1">
      <c r="Y410" s="12" t="s">
        <v>318</v>
      </c>
      <c r="Z410" s="1">
        <v>2</v>
      </c>
      <c r="AA410" s="1" t="s">
        <v>318</v>
      </c>
      <c r="AB410" s="1">
        <v>3</v>
      </c>
    </row>
    <row r="411" spans="25:28" ht="25.5" customHeight="1">
      <c r="Y411" s="1" t="s">
        <v>114</v>
      </c>
      <c r="Z411" s="1">
        <v>3</v>
      </c>
      <c r="AA411" s="1" t="s">
        <v>221</v>
      </c>
      <c r="AB411" s="1">
        <v>4</v>
      </c>
    </row>
    <row r="412" spans="25:28" ht="25.5" customHeight="1">
      <c r="Y412" s="1" t="s">
        <v>221</v>
      </c>
      <c r="Z412" s="1">
        <v>3</v>
      </c>
      <c r="AA412" s="1"/>
      <c r="AB412" s="1"/>
    </row>
    <row r="413" spans="27:28" ht="25.5" customHeight="1">
      <c r="AA413" s="1"/>
      <c r="AB413" s="1"/>
    </row>
    <row r="414" spans="25:28" ht="25.5" customHeight="1">
      <c r="Y414" s="1">
        <v>1</v>
      </c>
      <c r="Z414" s="1">
        <v>2</v>
      </c>
      <c r="AA414" s="1">
        <v>1</v>
      </c>
      <c r="AB414" s="1">
        <v>2</v>
      </c>
    </row>
    <row r="415" spans="25:27" ht="25.5" customHeight="1">
      <c r="Y415" s="2" t="s">
        <v>343</v>
      </c>
      <c r="AA415" s="2" t="s">
        <v>223</v>
      </c>
    </row>
    <row r="416" spans="25:28" ht="25.5" customHeight="1">
      <c r="Y416" s="1">
        <v>0</v>
      </c>
      <c r="Z416" s="12" t="s">
        <v>142</v>
      </c>
      <c r="AA416" s="1">
        <v>1</v>
      </c>
      <c r="AB416" s="1" t="s">
        <v>197</v>
      </c>
    </row>
    <row r="417" spans="25:28" ht="25.5" customHeight="1">
      <c r="Y417" s="1">
        <v>1</v>
      </c>
      <c r="Z417" s="1" t="s">
        <v>197</v>
      </c>
      <c r="AA417" s="1">
        <v>2</v>
      </c>
      <c r="AB417" s="1" t="s">
        <v>309</v>
      </c>
    </row>
    <row r="418" spans="25:28" ht="25.5" customHeight="1">
      <c r="Y418" s="1">
        <v>2</v>
      </c>
      <c r="Z418" s="1" t="s">
        <v>309</v>
      </c>
      <c r="AA418" s="1">
        <v>3</v>
      </c>
      <c r="AB418" s="1" t="s">
        <v>307</v>
      </c>
    </row>
    <row r="419" spans="25:28" ht="25.5" customHeight="1">
      <c r="Y419" s="1">
        <v>3</v>
      </c>
      <c r="Z419" s="1" t="s">
        <v>307</v>
      </c>
      <c r="AA419" s="1">
        <v>4</v>
      </c>
      <c r="AB419" s="1" t="s">
        <v>152</v>
      </c>
    </row>
    <row r="420" spans="25:28" ht="25.5" customHeight="1">
      <c r="Y420" s="1">
        <v>4</v>
      </c>
      <c r="Z420" s="1" t="s">
        <v>152</v>
      </c>
      <c r="AA420" s="1">
        <v>5</v>
      </c>
      <c r="AB420" s="1" t="s">
        <v>118</v>
      </c>
    </row>
    <row r="421" spans="27:28" ht="25.5" customHeight="1">
      <c r="AA421" s="1"/>
      <c r="AB421" s="1"/>
    </row>
    <row r="423" spans="1:23" ht="12">
      <c r="A423" s="2" t="s">
        <v>278</v>
      </c>
      <c r="B423" s="2"/>
      <c r="J423" s="2" t="s">
        <v>188</v>
      </c>
      <c r="Q423" s="2" t="s">
        <v>168</v>
      </c>
      <c r="W423" s="2" t="s">
        <v>84</v>
      </c>
    </row>
    <row r="424" spans="1:23" ht="12">
      <c r="A424" s="1" t="s">
        <v>142</v>
      </c>
      <c r="B424" s="2"/>
      <c r="J424" s="1" t="s">
        <v>142</v>
      </c>
      <c r="Q424" s="1" t="s">
        <v>142</v>
      </c>
      <c r="W424" s="1" t="s">
        <v>142</v>
      </c>
    </row>
    <row r="425" spans="1:23" ht="12">
      <c r="A425" s="1">
        <v>1</v>
      </c>
      <c r="B425" s="2"/>
      <c r="J425" s="1">
        <v>1</v>
      </c>
      <c r="Q425" s="1">
        <v>1</v>
      </c>
      <c r="W425" s="1" t="s">
        <v>83</v>
      </c>
    </row>
    <row r="426" spans="1:17" ht="12">
      <c r="A426" s="1">
        <v>2</v>
      </c>
      <c r="B426" s="2"/>
      <c r="J426" s="1">
        <v>2</v>
      </c>
      <c r="Q426" s="1">
        <v>2</v>
      </c>
    </row>
    <row r="427" spans="1:17" ht="12">
      <c r="A427" s="1">
        <v>3</v>
      </c>
      <c r="B427" s="2"/>
      <c r="Q427" s="1">
        <v>3</v>
      </c>
    </row>
    <row r="428" spans="2:27" ht="12">
      <c r="B428" s="2"/>
      <c r="Q428" s="1">
        <v>4</v>
      </c>
      <c r="X428" s="2">
        <v>1</v>
      </c>
      <c r="Y428" s="2">
        <v>2</v>
      </c>
      <c r="Z428" s="2">
        <v>3</v>
      </c>
      <c r="AA428" s="2">
        <v>4</v>
      </c>
    </row>
    <row r="429" spans="2:26" ht="12">
      <c r="B429" s="2"/>
      <c r="J429" s="2" t="s">
        <v>242</v>
      </c>
      <c r="X429" s="2" t="s">
        <v>374</v>
      </c>
      <c r="Y429" s="2" t="s">
        <v>375</v>
      </c>
      <c r="Z429" s="2" t="s">
        <v>322</v>
      </c>
    </row>
    <row r="430" spans="1:27" ht="12">
      <c r="A430" s="2" t="s">
        <v>117</v>
      </c>
      <c r="B430" s="2"/>
      <c r="J430" s="1" t="s">
        <v>142</v>
      </c>
      <c r="Q430" s="2" t="s">
        <v>288</v>
      </c>
      <c r="X430" s="2" t="s">
        <v>200</v>
      </c>
      <c r="Y430" s="2" t="s">
        <v>142</v>
      </c>
      <c r="Z430" s="2">
        <v>0</v>
      </c>
      <c r="AA430" s="2" t="s">
        <v>142</v>
      </c>
    </row>
    <row r="431" spans="1:27" ht="12">
      <c r="A431" s="1" t="s">
        <v>142</v>
      </c>
      <c r="B431" s="2"/>
      <c r="J431" s="1">
        <v>1</v>
      </c>
      <c r="Q431" s="1" t="s">
        <v>142</v>
      </c>
      <c r="X431" s="2" t="s">
        <v>203</v>
      </c>
      <c r="Y431" s="2" t="s">
        <v>202</v>
      </c>
      <c r="Z431" s="2">
        <v>15</v>
      </c>
      <c r="AA431" s="2" t="s">
        <v>201</v>
      </c>
    </row>
    <row r="432" spans="1:27" ht="12">
      <c r="A432" s="1">
        <v>3</v>
      </c>
      <c r="B432" s="2"/>
      <c r="J432" s="1"/>
      <c r="Q432" s="1">
        <v>3</v>
      </c>
      <c r="X432" s="2" t="s">
        <v>250</v>
      </c>
      <c r="Y432" s="2" t="s">
        <v>142</v>
      </c>
      <c r="Z432" s="2">
        <v>0</v>
      </c>
      <c r="AA432" s="2" t="s">
        <v>142</v>
      </c>
    </row>
    <row r="433" spans="1:27" ht="12">
      <c r="A433" s="1">
        <v>6</v>
      </c>
      <c r="B433" s="2"/>
      <c r="Q433" s="1">
        <v>6</v>
      </c>
      <c r="X433" s="2" t="s">
        <v>386</v>
      </c>
      <c r="Y433" s="2" t="s">
        <v>204</v>
      </c>
      <c r="Z433" s="2">
        <v>0</v>
      </c>
      <c r="AA433" s="2" t="s">
        <v>387</v>
      </c>
    </row>
    <row r="434" spans="1:27" ht="12">
      <c r="A434" s="1">
        <v>9</v>
      </c>
      <c r="B434" s="2"/>
      <c r="Q434" s="1">
        <v>9</v>
      </c>
      <c r="X434" s="2" t="s">
        <v>351</v>
      </c>
      <c r="Y434" s="2" t="s">
        <v>352</v>
      </c>
      <c r="Z434" s="2">
        <v>20</v>
      </c>
      <c r="AA434" s="2" t="s">
        <v>142</v>
      </c>
    </row>
    <row r="435" spans="2:17" ht="12">
      <c r="B435" s="2"/>
      <c r="Q435" s="1">
        <v>12</v>
      </c>
    </row>
    <row r="436" spans="2:10" ht="12">
      <c r="B436" s="2"/>
      <c r="J436" s="2" t="s">
        <v>244</v>
      </c>
    </row>
    <row r="437" spans="1:3" ht="12">
      <c r="A437" s="2" t="s">
        <v>151</v>
      </c>
      <c r="B437" s="2"/>
      <c r="C437" s="2" t="s">
        <v>112</v>
      </c>
    </row>
    <row r="438" spans="1:10" ht="12">
      <c r="A438" s="1" t="s">
        <v>142</v>
      </c>
      <c r="B438" s="2"/>
      <c r="C438" s="1" t="s">
        <v>142</v>
      </c>
      <c r="J438" s="1" t="s">
        <v>197</v>
      </c>
    </row>
    <row r="439" spans="1:22" ht="12">
      <c r="A439" s="1">
        <v>9</v>
      </c>
      <c r="B439" s="2"/>
      <c r="C439" s="1" t="s">
        <v>113</v>
      </c>
      <c r="J439" s="1" t="s">
        <v>309</v>
      </c>
      <c r="Q439" s="2" t="s">
        <v>160</v>
      </c>
      <c r="V439" s="2" t="s">
        <v>324</v>
      </c>
    </row>
    <row r="440" spans="1:26" ht="12">
      <c r="A440" s="1">
        <v>10</v>
      </c>
      <c r="B440" s="2"/>
      <c r="C440" s="1" t="s">
        <v>318</v>
      </c>
      <c r="J440" s="1" t="s">
        <v>307</v>
      </c>
      <c r="Q440" s="1" t="s">
        <v>142</v>
      </c>
      <c r="V440" s="1" t="s">
        <v>142</v>
      </c>
      <c r="X440" s="2">
        <v>1</v>
      </c>
      <c r="Y440" s="2">
        <v>2</v>
      </c>
      <c r="Z440" s="2">
        <v>3</v>
      </c>
    </row>
    <row r="441" spans="1:26" ht="12">
      <c r="A441" s="1">
        <v>11</v>
      </c>
      <c r="B441" s="2"/>
      <c r="C441" s="1" t="s">
        <v>114</v>
      </c>
      <c r="J441" s="1" t="s">
        <v>152</v>
      </c>
      <c r="Q441" s="2">
        <v>10</v>
      </c>
      <c r="V441" s="1">
        <v>4</v>
      </c>
      <c r="X441" s="2" t="s">
        <v>262</v>
      </c>
      <c r="Y441" s="2" t="s">
        <v>375</v>
      </c>
      <c r="Z441" s="2" t="s">
        <v>322</v>
      </c>
    </row>
    <row r="442" spans="1:26" ht="12">
      <c r="A442" s="1">
        <v>12</v>
      </c>
      <c r="B442" s="2"/>
      <c r="J442" s="1" t="s">
        <v>118</v>
      </c>
      <c r="Q442" s="2">
        <v>15</v>
      </c>
      <c r="V442" s="1">
        <v>5</v>
      </c>
      <c r="X442" s="2" t="s">
        <v>395</v>
      </c>
      <c r="Y442" s="2" t="s">
        <v>142</v>
      </c>
      <c r="Z442" s="2">
        <v>0</v>
      </c>
    </row>
    <row r="443" spans="1:26" ht="12">
      <c r="A443" s="1">
        <v>13</v>
      </c>
      <c r="B443" s="2"/>
      <c r="J443" s="1" t="s">
        <v>153</v>
      </c>
      <c r="Q443" s="2">
        <v>20</v>
      </c>
      <c r="V443" s="1">
        <v>6</v>
      </c>
      <c r="X443" s="2" t="s">
        <v>390</v>
      </c>
      <c r="Y443" s="2" t="s">
        <v>396</v>
      </c>
      <c r="Z443" s="2">
        <v>0</v>
      </c>
    </row>
    <row r="444" spans="1:26" ht="12">
      <c r="A444" s="1">
        <v>14</v>
      </c>
      <c r="B444" s="2"/>
      <c r="C444" s="1" t="s">
        <v>182</v>
      </c>
      <c r="J444" s="1" t="s">
        <v>142</v>
      </c>
      <c r="Q444" s="2">
        <v>25</v>
      </c>
      <c r="V444" s="1">
        <v>7</v>
      </c>
      <c r="X444" s="2" t="s">
        <v>263</v>
      </c>
      <c r="Z444" s="2">
        <v>0</v>
      </c>
    </row>
    <row r="445" spans="1:26" ht="12">
      <c r="A445" s="1">
        <v>15</v>
      </c>
      <c r="B445" s="2"/>
      <c r="C445" s="1" t="s">
        <v>142</v>
      </c>
      <c r="Q445" s="2">
        <v>30</v>
      </c>
      <c r="V445" s="1">
        <v>8</v>
      </c>
      <c r="X445" s="2" t="s">
        <v>389</v>
      </c>
      <c r="Z445" s="2">
        <v>20</v>
      </c>
    </row>
    <row r="446" spans="1:22" ht="12">
      <c r="A446" s="1">
        <v>16</v>
      </c>
      <c r="B446" s="2"/>
      <c r="C446" s="1">
        <v>1</v>
      </c>
      <c r="G446" s="2" t="s">
        <v>143</v>
      </c>
      <c r="K446" s="2" t="s">
        <v>190</v>
      </c>
      <c r="Q446" s="2">
        <v>50</v>
      </c>
      <c r="R446" s="6"/>
      <c r="V446" s="1">
        <v>9</v>
      </c>
    </row>
    <row r="447" spans="1:22" ht="12">
      <c r="A447" s="1">
        <v>17</v>
      </c>
      <c r="B447" s="2"/>
      <c r="C447" s="1">
        <v>2</v>
      </c>
      <c r="G447" s="2" t="s">
        <v>142</v>
      </c>
      <c r="K447" s="2" t="s">
        <v>142</v>
      </c>
      <c r="Q447" s="2">
        <v>55</v>
      </c>
      <c r="R447" s="6"/>
      <c r="V447" s="1">
        <v>10</v>
      </c>
    </row>
    <row r="448" spans="1:22" ht="12">
      <c r="A448" s="1">
        <v>18</v>
      </c>
      <c r="B448" s="2"/>
      <c r="C448" s="1">
        <v>3</v>
      </c>
      <c r="G448" s="1">
        <v>9</v>
      </c>
      <c r="K448" s="1">
        <v>1</v>
      </c>
      <c r="Q448" s="2">
        <v>75</v>
      </c>
      <c r="V448" s="1">
        <v>11</v>
      </c>
    </row>
    <row r="449" spans="1:22" ht="12">
      <c r="A449" s="1">
        <v>19</v>
      </c>
      <c r="B449" s="2"/>
      <c r="C449" s="1">
        <v>4</v>
      </c>
      <c r="G449" s="1">
        <v>10</v>
      </c>
      <c r="K449" s="1">
        <v>2</v>
      </c>
      <c r="Q449" s="29">
        <v>100</v>
      </c>
      <c r="V449" s="1">
        <v>12</v>
      </c>
    </row>
    <row r="450" spans="1:22" ht="12">
      <c r="A450" s="1">
        <v>20</v>
      </c>
      <c r="B450" s="2"/>
      <c r="C450" s="1">
        <v>5</v>
      </c>
      <c r="G450" s="1">
        <v>11</v>
      </c>
      <c r="K450" s="1">
        <v>3</v>
      </c>
      <c r="Q450" s="2" t="s">
        <v>80</v>
      </c>
      <c r="V450" s="1">
        <v>13</v>
      </c>
    </row>
    <row r="451" spans="1:28" ht="12">
      <c r="A451" s="1">
        <v>21</v>
      </c>
      <c r="B451" s="2"/>
      <c r="C451" s="1">
        <v>6</v>
      </c>
      <c r="G451" s="1">
        <v>12</v>
      </c>
      <c r="K451" s="1">
        <v>4</v>
      </c>
      <c r="V451" s="1">
        <v>14</v>
      </c>
      <c r="X451" s="2">
        <v>1</v>
      </c>
      <c r="Y451" s="2">
        <v>2</v>
      </c>
      <c r="Z451" s="2">
        <v>3</v>
      </c>
      <c r="AA451" s="2">
        <v>4</v>
      </c>
      <c r="AB451" s="2">
        <v>5</v>
      </c>
    </row>
    <row r="452" spans="1:28" ht="12">
      <c r="A452" s="1">
        <v>22</v>
      </c>
      <c r="B452" s="2"/>
      <c r="C452" s="1">
        <v>7</v>
      </c>
      <c r="G452" s="1">
        <v>13</v>
      </c>
      <c r="K452" s="1">
        <v>5</v>
      </c>
      <c r="Q452" s="1" t="s">
        <v>142</v>
      </c>
      <c r="V452" s="1">
        <v>15</v>
      </c>
      <c r="X452" s="2" t="s">
        <v>328</v>
      </c>
      <c r="Y452" s="2" t="s">
        <v>375</v>
      </c>
      <c r="Z452" s="2" t="s">
        <v>375</v>
      </c>
      <c r="AA452" s="2" t="s">
        <v>333</v>
      </c>
      <c r="AB452" s="2" t="s">
        <v>329</v>
      </c>
    </row>
    <row r="453" spans="1:28" ht="12">
      <c r="A453" s="1">
        <v>23</v>
      </c>
      <c r="B453" s="2"/>
      <c r="C453" s="1">
        <v>8</v>
      </c>
      <c r="G453" s="1">
        <v>14</v>
      </c>
      <c r="K453" s="1">
        <v>6</v>
      </c>
      <c r="Q453" s="2">
        <v>5</v>
      </c>
      <c r="V453" s="1">
        <v>16</v>
      </c>
      <c r="X453" s="2" t="s">
        <v>331</v>
      </c>
      <c r="Y453" s="2" t="s">
        <v>142</v>
      </c>
      <c r="Z453" s="2" t="s">
        <v>142</v>
      </c>
      <c r="AA453" s="2">
        <v>0</v>
      </c>
      <c r="AB453" s="2">
        <v>0</v>
      </c>
    </row>
    <row r="454" spans="1:28" ht="12">
      <c r="A454" s="1">
        <v>24</v>
      </c>
      <c r="B454" s="2"/>
      <c r="C454" s="1">
        <v>9</v>
      </c>
      <c r="G454" s="1">
        <v>15</v>
      </c>
      <c r="K454" s="1">
        <v>7</v>
      </c>
      <c r="Q454" s="2">
        <v>10</v>
      </c>
      <c r="V454" s="1">
        <v>17</v>
      </c>
      <c r="X454" s="2" t="s">
        <v>330</v>
      </c>
      <c r="Y454" s="2" t="s">
        <v>142</v>
      </c>
      <c r="Z454" s="2" t="s">
        <v>142</v>
      </c>
      <c r="AA454" s="2">
        <v>0</v>
      </c>
      <c r="AB454" s="2">
        <v>0</v>
      </c>
    </row>
    <row r="455" spans="1:28" ht="12">
      <c r="A455" s="1">
        <v>25</v>
      </c>
      <c r="B455" s="2"/>
      <c r="C455" s="1">
        <v>10</v>
      </c>
      <c r="G455" s="1">
        <v>16</v>
      </c>
      <c r="K455" s="1">
        <v>8</v>
      </c>
      <c r="Q455" s="2">
        <v>15</v>
      </c>
      <c r="V455" s="1">
        <v>18</v>
      </c>
      <c r="X455" s="2" t="s">
        <v>238</v>
      </c>
      <c r="Y455" s="2" t="s">
        <v>358</v>
      </c>
      <c r="Z455" s="2" t="s">
        <v>142</v>
      </c>
      <c r="AA455" s="2">
        <v>6</v>
      </c>
      <c r="AB455" s="2">
        <v>0</v>
      </c>
    </row>
    <row r="456" spans="1:28" ht="12">
      <c r="A456" s="1">
        <v>26</v>
      </c>
      <c r="B456" s="2"/>
      <c r="G456" s="1">
        <v>17</v>
      </c>
      <c r="K456" s="1">
        <v>9</v>
      </c>
      <c r="Q456" s="2">
        <v>20</v>
      </c>
      <c r="V456" s="1">
        <v>19</v>
      </c>
      <c r="X456" s="2" t="s">
        <v>362</v>
      </c>
      <c r="Y456" s="2" t="s">
        <v>376</v>
      </c>
      <c r="Z456" s="2" t="s">
        <v>359</v>
      </c>
      <c r="AA456" s="2">
        <v>10</v>
      </c>
      <c r="AB456" s="2">
        <v>0</v>
      </c>
    </row>
    <row r="457" spans="1:28" ht="12">
      <c r="A457" s="1">
        <v>27</v>
      </c>
      <c r="B457" s="2"/>
      <c r="E457" s="2" t="s">
        <v>81</v>
      </c>
      <c r="G457" s="1">
        <v>18</v>
      </c>
      <c r="K457" s="1">
        <v>10</v>
      </c>
      <c r="Q457" s="2">
        <v>25</v>
      </c>
      <c r="V457" s="1">
        <v>20</v>
      </c>
      <c r="X457" s="2" t="s">
        <v>334</v>
      </c>
      <c r="Y457" s="2" t="s">
        <v>327</v>
      </c>
      <c r="AA457" s="2">
        <v>12</v>
      </c>
      <c r="AB457" s="2">
        <v>0</v>
      </c>
    </row>
    <row r="458" spans="1:28" ht="12">
      <c r="A458" s="1">
        <v>28</v>
      </c>
      <c r="B458" s="2"/>
      <c r="E458" s="1" t="s">
        <v>142</v>
      </c>
      <c r="G458" s="1">
        <v>19</v>
      </c>
      <c r="K458" s="1">
        <v>11</v>
      </c>
      <c r="Q458" s="2">
        <v>30</v>
      </c>
      <c r="V458" s="1"/>
      <c r="X458" s="2" t="s">
        <v>357</v>
      </c>
      <c r="Y458" s="2" t="s">
        <v>239</v>
      </c>
      <c r="AA458" s="2">
        <v>12</v>
      </c>
      <c r="AB458" s="2">
        <v>0</v>
      </c>
    </row>
    <row r="459" spans="1:28" ht="12">
      <c r="A459" s="1">
        <v>29</v>
      </c>
      <c r="B459" s="2"/>
      <c r="E459" s="2">
        <v>10</v>
      </c>
      <c r="G459" s="1">
        <v>20</v>
      </c>
      <c r="K459" s="1">
        <v>12</v>
      </c>
      <c r="Q459" s="2">
        <v>35</v>
      </c>
      <c r="S459" s="6" t="s">
        <v>303</v>
      </c>
      <c r="V459" s="1"/>
      <c r="X459" s="2" t="s">
        <v>381</v>
      </c>
      <c r="Y459" s="2" t="s">
        <v>360</v>
      </c>
      <c r="AA459" s="2">
        <v>0</v>
      </c>
      <c r="AB459" s="2">
        <v>25</v>
      </c>
    </row>
    <row r="460" spans="1:28" ht="12">
      <c r="A460" s="1">
        <v>30</v>
      </c>
      <c r="E460" s="2">
        <v>25</v>
      </c>
      <c r="G460" s="1">
        <v>21</v>
      </c>
      <c r="K460" s="1">
        <v>13</v>
      </c>
      <c r="Q460" s="2">
        <v>40</v>
      </c>
      <c r="S460" s="1" t="s">
        <v>142</v>
      </c>
      <c r="V460" s="1"/>
      <c r="X460" s="2" t="s">
        <v>361</v>
      </c>
      <c r="Y460" s="2" t="s">
        <v>382</v>
      </c>
      <c r="AA460" s="2">
        <v>0</v>
      </c>
      <c r="AB460" s="2">
        <v>2</v>
      </c>
    </row>
    <row r="461" spans="1:22" ht="12">
      <c r="A461" s="1">
        <v>31</v>
      </c>
      <c r="E461" s="2">
        <v>40</v>
      </c>
      <c r="G461" s="1">
        <v>22</v>
      </c>
      <c r="K461" s="1">
        <v>14</v>
      </c>
      <c r="Q461" s="2">
        <v>45</v>
      </c>
      <c r="S461" s="2">
        <v>5</v>
      </c>
      <c r="V461" s="1"/>
    </row>
    <row r="462" spans="1:22" ht="12">
      <c r="A462" s="1">
        <v>32</v>
      </c>
      <c r="E462" s="2">
        <v>50</v>
      </c>
      <c r="G462" s="1">
        <v>23</v>
      </c>
      <c r="K462" s="1">
        <v>15</v>
      </c>
      <c r="Q462" s="2">
        <v>50</v>
      </c>
      <c r="S462" s="2">
        <v>10</v>
      </c>
      <c r="V462" s="1"/>
    </row>
    <row r="463" spans="1:19" ht="12">
      <c r="A463" s="1">
        <v>33</v>
      </c>
      <c r="E463" s="2">
        <v>60</v>
      </c>
      <c r="G463" s="1">
        <v>24</v>
      </c>
      <c r="K463" s="1">
        <v>16</v>
      </c>
      <c r="Q463" s="2">
        <v>55</v>
      </c>
      <c r="S463" s="2">
        <v>15</v>
      </c>
    </row>
    <row r="464" spans="1:19" ht="12">
      <c r="A464" s="1">
        <v>34</v>
      </c>
      <c r="B464" s="22" t="s">
        <v>159</v>
      </c>
      <c r="C464" s="22"/>
      <c r="E464" s="2">
        <v>100</v>
      </c>
      <c r="G464" s="1">
        <v>25</v>
      </c>
      <c r="K464" s="1">
        <v>17</v>
      </c>
      <c r="Q464" s="2">
        <v>60</v>
      </c>
      <c r="R464" s="6"/>
      <c r="S464" s="2">
        <v>20</v>
      </c>
    </row>
    <row r="465" spans="1:19" ht="12">
      <c r="A465" s="1">
        <v>35</v>
      </c>
      <c r="C465" s="1" t="s">
        <v>142</v>
      </c>
      <c r="G465" s="1">
        <v>26</v>
      </c>
      <c r="K465" s="1">
        <v>18</v>
      </c>
      <c r="Q465" s="2">
        <v>65</v>
      </c>
      <c r="S465" s="2">
        <v>25</v>
      </c>
    </row>
    <row r="466" spans="1:19" ht="12">
      <c r="A466" s="1">
        <v>36</v>
      </c>
      <c r="C466" s="2">
        <v>5</v>
      </c>
      <c r="G466" s="1">
        <v>27</v>
      </c>
      <c r="K466" s="1">
        <v>19</v>
      </c>
      <c r="Q466" s="2">
        <v>70</v>
      </c>
      <c r="S466" s="2">
        <v>40</v>
      </c>
    </row>
    <row r="467" spans="1:26" ht="12">
      <c r="A467" s="1">
        <v>37</v>
      </c>
      <c r="C467" s="2">
        <v>6</v>
      </c>
      <c r="E467" s="29"/>
      <c r="G467" s="1">
        <v>28</v>
      </c>
      <c r="K467" s="1">
        <v>20</v>
      </c>
      <c r="Q467" s="2">
        <v>75</v>
      </c>
      <c r="S467" s="2">
        <v>45</v>
      </c>
      <c r="X467" s="2">
        <v>1</v>
      </c>
      <c r="Y467" s="2">
        <v>2</v>
      </c>
      <c r="Z467" s="2">
        <v>3</v>
      </c>
    </row>
    <row r="468" spans="1:26" ht="12">
      <c r="A468" s="1">
        <v>38</v>
      </c>
      <c r="C468" s="2">
        <v>7</v>
      </c>
      <c r="G468" s="1">
        <v>29</v>
      </c>
      <c r="K468" s="1">
        <v>21</v>
      </c>
      <c r="Q468" s="2">
        <v>80</v>
      </c>
      <c r="S468" s="2">
        <v>50</v>
      </c>
      <c r="X468" s="2" t="s">
        <v>332</v>
      </c>
      <c r="Y468" s="2" t="s">
        <v>375</v>
      </c>
      <c r="Z468" s="2" t="s">
        <v>322</v>
      </c>
    </row>
    <row r="469" spans="1:26" ht="12">
      <c r="A469" s="1">
        <v>39</v>
      </c>
      <c r="C469" s="2">
        <v>8</v>
      </c>
      <c r="K469" s="1">
        <v>22</v>
      </c>
      <c r="Q469" s="2">
        <v>85</v>
      </c>
      <c r="S469" s="2">
        <v>55</v>
      </c>
      <c r="X469" s="2" t="s">
        <v>240</v>
      </c>
      <c r="Y469" s="2" t="s">
        <v>142</v>
      </c>
      <c r="Z469" s="2">
        <v>0</v>
      </c>
    </row>
    <row r="470" spans="1:26" ht="12">
      <c r="A470" s="1">
        <v>40</v>
      </c>
      <c r="C470" s="2">
        <v>9</v>
      </c>
      <c r="K470" s="1">
        <v>23</v>
      </c>
      <c r="Q470" s="2">
        <v>90</v>
      </c>
      <c r="S470" s="2">
        <v>50</v>
      </c>
      <c r="X470" s="2" t="s">
        <v>241</v>
      </c>
      <c r="Y470" s="2" t="s">
        <v>172</v>
      </c>
      <c r="Z470" s="2">
        <v>25</v>
      </c>
    </row>
    <row r="471" spans="1:26" ht="12">
      <c r="A471" s="1">
        <v>41</v>
      </c>
      <c r="C471" s="2">
        <v>10</v>
      </c>
      <c r="K471" s="1">
        <v>24</v>
      </c>
      <c r="Q471" s="2">
        <v>95</v>
      </c>
      <c r="S471" s="2">
        <v>55</v>
      </c>
      <c r="X471" s="2" t="s">
        <v>173</v>
      </c>
      <c r="Y471" s="2" t="s">
        <v>174</v>
      </c>
      <c r="Z471" s="2">
        <v>40</v>
      </c>
    </row>
    <row r="472" spans="1:19" ht="12">
      <c r="A472" s="1">
        <v>42</v>
      </c>
      <c r="C472" s="2">
        <v>11</v>
      </c>
      <c r="K472" s="1">
        <v>25</v>
      </c>
      <c r="Q472" s="2">
        <v>100</v>
      </c>
      <c r="S472" s="2">
        <v>70</v>
      </c>
    </row>
    <row r="473" spans="1:19" ht="12">
      <c r="A473" s="1">
        <v>43</v>
      </c>
      <c r="C473" s="2">
        <v>12</v>
      </c>
      <c r="Q473" s="2">
        <v>105</v>
      </c>
      <c r="S473" s="2">
        <v>75</v>
      </c>
    </row>
    <row r="474" spans="1:19" ht="12">
      <c r="A474" s="1">
        <v>44</v>
      </c>
      <c r="C474" s="2">
        <v>13</v>
      </c>
      <c r="Q474" s="2">
        <v>110</v>
      </c>
      <c r="S474" s="2"/>
    </row>
    <row r="475" spans="1:19" ht="12">
      <c r="A475" s="1">
        <v>45</v>
      </c>
      <c r="C475" s="2">
        <v>14</v>
      </c>
      <c r="G475" s="2" t="s">
        <v>189</v>
      </c>
      <c r="Q475" s="2">
        <v>115</v>
      </c>
      <c r="S475" s="2"/>
    </row>
    <row r="476" spans="1:17" ht="12">
      <c r="A476" s="1">
        <v>46</v>
      </c>
      <c r="C476" s="2">
        <v>15</v>
      </c>
      <c r="G476" s="1" t="s">
        <v>142</v>
      </c>
      <c r="Q476" s="2">
        <v>120</v>
      </c>
    </row>
    <row r="477" spans="1:17" ht="12">
      <c r="A477" s="1">
        <v>47</v>
      </c>
      <c r="C477" s="2">
        <v>16</v>
      </c>
      <c r="G477" s="2">
        <v>20</v>
      </c>
      <c r="Q477" s="2">
        <v>125</v>
      </c>
    </row>
    <row r="478" spans="1:17" ht="12">
      <c r="A478" s="1">
        <v>48</v>
      </c>
      <c r="C478" s="2">
        <v>17</v>
      </c>
      <c r="G478" s="2">
        <v>25</v>
      </c>
      <c r="Q478" s="2">
        <v>130</v>
      </c>
    </row>
    <row r="479" spans="1:17" ht="12">
      <c r="A479" s="1">
        <v>49</v>
      </c>
      <c r="C479" s="2">
        <v>18</v>
      </c>
      <c r="G479" s="2">
        <v>45</v>
      </c>
      <c r="Q479" s="2">
        <v>135</v>
      </c>
    </row>
    <row r="480" spans="1:17" ht="12">
      <c r="A480" s="1">
        <v>50</v>
      </c>
      <c r="C480" s="2">
        <v>19</v>
      </c>
      <c r="G480" s="2">
        <v>60</v>
      </c>
      <c r="Q480" s="2">
        <v>140</v>
      </c>
    </row>
    <row r="481" spans="3:17" ht="12">
      <c r="C481" s="2">
        <v>20</v>
      </c>
      <c r="Q481" s="2">
        <v>145</v>
      </c>
    </row>
    <row r="482" ht="12">
      <c r="Q482" s="2">
        <v>150</v>
      </c>
    </row>
    <row r="483" ht="12">
      <c r="G483" s="2" t="s">
        <v>295</v>
      </c>
    </row>
    <row r="484" spans="1:7" ht="12">
      <c r="A484" s="2" t="s">
        <v>151</v>
      </c>
      <c r="G484" s="1" t="s">
        <v>142</v>
      </c>
    </row>
    <row r="485" spans="1:7" ht="12">
      <c r="A485" s="1" t="s">
        <v>142</v>
      </c>
      <c r="G485" s="2">
        <v>20</v>
      </c>
    </row>
    <row r="486" spans="1:7" ht="12">
      <c r="A486" s="1">
        <v>4</v>
      </c>
      <c r="G486" s="2">
        <v>25</v>
      </c>
    </row>
    <row r="487" spans="1:7" ht="12">
      <c r="A487" s="1">
        <v>5</v>
      </c>
      <c r="G487" s="2">
        <v>45</v>
      </c>
    </row>
    <row r="488" spans="1:7" ht="12">
      <c r="A488" s="1">
        <v>6</v>
      </c>
      <c r="G488" s="2">
        <v>80</v>
      </c>
    </row>
    <row r="489" ht="12">
      <c r="A489" s="1">
        <v>7</v>
      </c>
    </row>
    <row r="490" ht="12">
      <c r="A490" s="1">
        <v>8</v>
      </c>
    </row>
    <row r="491" ht="12">
      <c r="A491" s="1">
        <v>9</v>
      </c>
    </row>
    <row r="492" ht="12">
      <c r="A492" s="1">
        <v>10</v>
      </c>
    </row>
    <row r="493" ht="12">
      <c r="A493" s="1">
        <v>11</v>
      </c>
    </row>
    <row r="494" ht="12">
      <c r="A494" s="1">
        <v>12</v>
      </c>
    </row>
    <row r="495" ht="12">
      <c r="A495" s="1">
        <v>13</v>
      </c>
    </row>
    <row r="496" ht="12">
      <c r="A496" s="1">
        <v>14</v>
      </c>
    </row>
    <row r="497" ht="12">
      <c r="A497" s="1">
        <v>15</v>
      </c>
    </row>
    <row r="498" ht="12">
      <c r="A498" s="1">
        <v>16</v>
      </c>
    </row>
    <row r="499" ht="12">
      <c r="A499" s="1">
        <v>17</v>
      </c>
    </row>
    <row r="500" ht="12">
      <c r="A500" s="1">
        <v>18</v>
      </c>
    </row>
    <row r="501" ht="12">
      <c r="A501" s="1">
        <v>19</v>
      </c>
    </row>
    <row r="502" ht="12">
      <c r="A502" s="1">
        <v>20</v>
      </c>
    </row>
    <row r="503" ht="12">
      <c r="A503" s="1">
        <v>21</v>
      </c>
    </row>
    <row r="504" ht="12">
      <c r="A504" s="1">
        <v>22</v>
      </c>
    </row>
    <row r="505" ht="12">
      <c r="A505" s="1">
        <v>23</v>
      </c>
    </row>
    <row r="506" ht="12">
      <c r="A506" s="1">
        <v>24</v>
      </c>
    </row>
    <row r="507" ht="12">
      <c r="A507" s="1">
        <v>25</v>
      </c>
    </row>
    <row r="508" ht="12">
      <c r="A508" s="1">
        <v>26</v>
      </c>
    </row>
    <row r="509" ht="12">
      <c r="A509" s="1">
        <v>27</v>
      </c>
    </row>
    <row r="510" ht="12">
      <c r="A510" s="1">
        <v>28</v>
      </c>
    </row>
    <row r="511" ht="12">
      <c r="A511" s="1">
        <v>29</v>
      </c>
    </row>
    <row r="512" ht="12">
      <c r="A512" s="1">
        <v>30</v>
      </c>
    </row>
    <row r="513" ht="12">
      <c r="A513" s="1">
        <v>31</v>
      </c>
    </row>
    <row r="514" ht="12">
      <c r="A514" s="1">
        <v>32</v>
      </c>
    </row>
    <row r="515" ht="12">
      <c r="A515" s="1">
        <v>33</v>
      </c>
    </row>
    <row r="516" ht="12">
      <c r="A516" s="1">
        <v>34</v>
      </c>
    </row>
    <row r="517" ht="12">
      <c r="A517" s="1">
        <v>35</v>
      </c>
    </row>
    <row r="518" ht="12">
      <c r="A518" s="1">
        <v>36</v>
      </c>
    </row>
    <row r="519" ht="12">
      <c r="A519" s="1">
        <v>37</v>
      </c>
    </row>
    <row r="520" ht="12">
      <c r="A520" s="1">
        <v>38</v>
      </c>
    </row>
    <row r="521" ht="12">
      <c r="A521" s="1">
        <v>39</v>
      </c>
    </row>
    <row r="522" ht="12">
      <c r="A522" s="1">
        <v>40</v>
      </c>
    </row>
    <row r="523" ht="12">
      <c r="A523" s="1">
        <v>41</v>
      </c>
    </row>
    <row r="524" ht="12">
      <c r="A524" s="1">
        <v>42</v>
      </c>
    </row>
    <row r="525" ht="12">
      <c r="A525" s="1">
        <v>43</v>
      </c>
    </row>
    <row r="526" ht="12">
      <c r="A526" s="1">
        <v>44</v>
      </c>
    </row>
    <row r="527" ht="12">
      <c r="A527" s="1">
        <v>45</v>
      </c>
    </row>
    <row r="528" ht="12">
      <c r="A528" s="1">
        <v>46</v>
      </c>
    </row>
    <row r="529" ht="12">
      <c r="A529" s="1">
        <v>47</v>
      </c>
    </row>
    <row r="530" ht="12">
      <c r="A530" s="1">
        <v>48</v>
      </c>
    </row>
    <row r="531" ht="12">
      <c r="A531" s="1">
        <v>49</v>
      </c>
    </row>
    <row r="532" ht="12">
      <c r="A532" s="1">
        <v>50</v>
      </c>
    </row>
  </sheetData>
  <sheetProtection password="E698" sheet="1" objects="1" scenarios="1"/>
  <mergeCells count="18">
    <mergeCell ref="A398:A399"/>
    <mergeCell ref="M361:N361"/>
    <mergeCell ref="M364:N364"/>
    <mergeCell ref="M370:N370"/>
    <mergeCell ref="M378:N378"/>
    <mergeCell ref="M388:N388"/>
    <mergeCell ref="A2:X2"/>
    <mergeCell ref="A3:X3"/>
    <mergeCell ref="M289:N289"/>
    <mergeCell ref="M294:N294"/>
    <mergeCell ref="A8:X8"/>
    <mergeCell ref="M286:N286"/>
    <mergeCell ref="M271:N271"/>
    <mergeCell ref="V396:W396"/>
    <mergeCell ref="M281:N281"/>
    <mergeCell ref="M284:N284"/>
    <mergeCell ref="M386:N386"/>
    <mergeCell ref="M333:N333"/>
  </mergeCells>
  <dataValidations count="91">
    <dataValidation type="list" allowBlank="1" showInputMessage="1" showErrorMessage="1" promptTitle="Maschinenrunen" prompt="Diese Kriegsmaschine darf aus dem Katalog der Maschinenrunen (Armeebuch Zwerge S.65) im Wert von 100 Punkten erhalten. Die Geschosse gelten dann als magisch. Wähle aus der Liste aus." errorTitle="Kann nicht sein!" error="Den ausgewählte Runenwert gibt es nicht! Verwende die Liste!" sqref="V284 V289 V294">
      <formula1>$Q$452:$Q$472</formula1>
    </dataValidation>
    <dataValidation type="list" allowBlank="1" showInputMessage="1" showErrorMessage="1" promptTitle="Anzahl der Zeppeline" prompt="Bitte wähle die Anzahl aller eingesetzten Zeppeline dieser Truppengattung aus der Liste aus!" errorTitle="So viele?!?" error="Mehr als drei? Was für eine Armee! Bitte wähle aus der Liste aus!" sqref="B384">
      <formula1>$A$424:$A$427</formula1>
    </dataValidation>
    <dataValidation type="list" allowBlank="1" showInputMessage="1" showErrorMessage="1" promptTitle="Anzahl Speerschleudern" prompt="Bitte wähle die Anzahl der eingesetzten Speerschleudern aus der Liste aus! Zwei Speerschleudern gelten als eine Eliteauswahl!" errorTitle="Da stimmt was nicht!" error="Bitte wähle die Anzahl der eingesetzten Speerschleudern aus der Liste aus! Zwei Sprreschleudern gelten als eine Eliteauswahl!" sqref="B289">
      <formula1>$Q$424:$Q$428</formula1>
    </dataValidation>
    <dataValidation type="list" allowBlank="1" showInputMessage="1" showErrorMessage="1" promptTitle="Anzahl der Gyrobomber" prompt="Bitte wähle die Anzahl aller eingesetzten Gyrobomber dieser Truppengattung aus der Liste aus!" errorTitle="So viele?!?" error="Mehr als drei? Was für eine Armee! Bitte wähle aus der Liste aus!" sqref="B333">
      <formula1>$K$447:$K$457</formula1>
    </dataValidation>
    <dataValidation type="list" allowBlank="1" showInputMessage="1" showErrorMessage="1" promptTitle="Anzahl Musiker" prompt="Bitte wähle die Anzahl aller eingesetzten Musiker dieser Truppengattung aus! Man darf nur einen Musiker je Einheit verwenden." errorTitle="Da stimmt was nicht" error="Bitte wähle die Anzahl aller eingesetzten Musiker dieser Truppengattung aus!" sqref="M239 M228 M253 M263 M214 M218 M223 M244 M303 M319 M311">
      <formula1>$A$424:$A$427</formula1>
    </dataValidation>
    <dataValidation type="list" allowBlank="1" showInputMessage="1" showErrorMessage="1" promptTitle="Anzahl Standarten" prompt="Bitte wähle die Anzahl aller eingesetzten Standarten bzw. ihrer Träger dieser Truppengattung aus! Man darf nur einen Musiker je Einheit verwenden." errorTitle="Da stimmt was nicht" error="Bitte wähle die Anzahl aller eingesetzten Standartenträger dieser Truppengattung aus!" sqref="N214 N239 N228 N253 N263 N218 N223 N244 N303 N319 N311">
      <formula1>$A$424:$A$427</formula1>
    </dataValidation>
    <dataValidation type="list" allowBlank="1" showInputMessage="1" showErrorMessage="1" promptTitle="Zweihandwaffe" prompt="Bitte wähle aus der Liste aus, ob der Charakter oder der Krieger eine Zweihandwaffe führt" errorTitle="Das geht nicht!" error="Ein Charakter oder eine Einheit kann immer nur keine oder eine Zweihandwaffe tragen. Bitte aus der Liste auswählen!" sqref="P109 P172 P223 P218 P189 P183 P214 P118">
      <formula1>$J$430:$J$431</formula1>
    </dataValidation>
    <dataValidation type="list" allowBlank="1" showInputMessage="1" showErrorMessage="1" promptTitle="Runenamboß" prompt="Bitte wähle aus der Liste aus, ob Deine Ruinemeister einen Runenamboß in die Schlacht führt!" errorTitle="Das geht nicht!" error="Es kann maximal ein Runenamboß im Spiel sein. Wähle aus der Liste" sqref="B122">
      <formula1>$J$430:$J$431</formula1>
    </dataValidation>
    <dataValidation type="list" allowBlank="1" showInputMessage="1" showErrorMessage="1" promptTitle="Schild" prompt="Bitte lege mit Hilfe der Liste fest, ob der Charakter oder der Krieger ein Schild trägt oder nicht. Bei der Verwendung von Zweihandwaffen im Nahkampf müssen die Schilde beseite gelegt werden." errorTitle="Dusel!" error="Ein Charakter oder ein Krieger können entweder ein Schild tragen oder nicht! Wähle aus der Liste aus!" sqref="R172 R183 R239 R214 R109 R311 R223 R228 R218 R303 R118">
      <formula1>$J$430:$J$431</formula1>
    </dataValidation>
    <dataValidation type="list" allowBlank="1" showInputMessage="1" showErrorMessage="1" promptTitle="Runenauswahl" prompt="Dieser Charakter kann sich mit Waffen- Rüstungs oder Talismanrunen und/oder Ahnenerbstücken im Wert von bis zu 75 Punkten ausrüsten (Armeebuch Zwerge S. 58ff). Wähle einen entsprechenden Wert aus der Liste aus!" errorTitle="Du willst die Dawi führen?" error="Den ausgewählten Runenwert gibt es nicht! Verwende die Liste!" sqref="V183 V172">
      <formula1>$Q$452:$Q$467</formula1>
    </dataValidation>
    <dataValidation type="list" allowBlank="1" showInputMessage="1" showErrorMessage="1" promptTitle="Armbrust" prompt="Wähle aus, ob der König zusätzlich noch eine Armbrust (10 P) oder eine Zwergenmuskete (15 P) erhält. Wenn er eine Armbrust bekommen soll, wähle aus diese Liste die 1 aus, wenn nicht, dann -!" errorTitle="Das geht nicht!" error="Entweder hat der König eine Armbrust oder nicht! Wähle aus der Liste aus!" sqref="AC109">
      <formula1>$J$430:$J$431</formula1>
    </dataValidation>
    <dataValidation type="list" allowBlank="1" showInputMessage="1" showErrorMessage="1" promptTitle="Zwergenmuskete" prompt="Wähle aus, ob der König zusätzlich noch eine Armbrust (10 P) oder eine Zwergenmuskete (15 P) erhält. Wenn er eine Zwergenmuskete bekommen soll, wähle aus diese Liste die 1 aus, wenn nicht, dann -!" errorTitle="Das geht nicht!" error="Entweder hat der König eine Zwergenmuskete oder nicht! Wähle aus der Liste aus!" sqref="AE109">
      <formula1>$J$430:$J$431</formula1>
    </dataValidation>
    <dataValidation type="list" allowBlank="1" showInputMessage="1" showErrorMessage="1" promptTitle="Runenauswahl" prompt="Dieser Charakter kann sich mit Waffen- Rüstungs oder Talismanrunen im Wert von bis zu 50 Punkten rüsten (Armeebuch Zwerge S. 60ff). Wähle einen entsprechenden Wert aus der Liste aus!" errorTitle="Du willst die Dawi führen?" error="Den ausgewählten Runenwert gibt es nicht! Verwende die Liste!" sqref="V189">
      <formula1>$Q$452:$Q$462</formula1>
    </dataValidation>
    <dataValidation type="list" allowBlank="1" showInputMessage="1" showErrorMessage="1" promptTitle="Standartenrune" prompt="Wähle eine Standartenrune aus dem Katalog der Runen von max. 50 Punkten aus (Armeebuch Zwerge S.63)" errorTitle="Kann nicht sein!" error="Den ausgewählte Runenwert gibt es nicht! Verwende die Liste!" sqref="V218 V319 V253 V263">
      <formula1>$Q$452:$Q$462</formula1>
    </dataValidation>
    <dataValidation type="list" allowBlank="1" showInputMessage="1" showErrorMessage="1" promptTitle="Schildträger" prompt="Wenn der König der Armeegeneral ist, kann er zwei Schildträger (25 P) mit in die Schlacht führen. Wenn er Schildträger bekommen soll, wähle aus diese Liste die 1 aus, wenn nicht, dann -!" errorTitle="Das geht nicht!" error="Entweder hat der Thain eine Zwergenmuskete oder nicht! Wähle aus der Liste aus!" sqref="AI109">
      <formula1>$J$430:$J$431</formula1>
    </dataValidation>
    <dataValidation type="list" allowBlank="1" showInputMessage="1" showErrorMessage="1" promptTitle="Eidstein" prompt="Wähle aus, ob der König zusätzlich noch einen Eidstein (30 P) erhält. Wenn er einen Eidstein bekommen soll, wähle aus diese Liste die 1 aus, wenn nicht, dann -!" errorTitle="Das geht nicht!" error="Entweder hat der Thain eine Zwergenmuskete oder nicht! Wähle aus der Liste aus!" sqref="AG109">
      <formula1>$J$430:$J$431</formula1>
    </dataValidation>
    <dataValidation type="list" allowBlank="1" showInputMessage="1" showErrorMessage="1" promptTitle="Gotrek zieht in die Schlacht" prompt="Bitte wähle, ob Gotrek als legendäres Sölderregiment an der Schlacht teilnimmt. Wenn ja, wähle 1 aus der Liste aus, ansonsten -!" errorTitle="Das geht nicht!" error="Entweder nimmt Gotrek an der Schlacht teil oder nicht!" sqref="B350">
      <formula1>$J$430:$J$431</formula1>
    </dataValidation>
    <dataValidation type="list" allowBlank="1" showInputMessage="1" showErrorMessage="1" promptTitle="Malakai Makaisson ist dabei!" prompt="Bitte wähle, ob Malakai Makaisson mit seinem Goblinschnitter als legendäres Sölderregiment an der Schlacht teilnimmt. Wenn ja, wähle 1 aus der Liste aus, ansonsten -!" errorTitle="Das geht nicht!" error="Entweder nimmt Malakai Makaisson an der Schlacht teil oder nicht!" sqref="B378">
      <formula1>$J$430:$J$431</formula1>
    </dataValidation>
    <dataValidation type="list" allowBlank="1" showInputMessage="1" showErrorMessage="1" promptTitle="Anzahl Dämonenslayer" prompt="Bitte wähle die Anzahl der eingesetzten Dämonenslayer aus der Liste aus!" errorTitle="So viele?!?" error="Mehr als drei? Was für eine Armee! Bitte wähle aus der Liste aus!" sqref="B134">
      <formula1>$A$424:$A$427</formula1>
    </dataValidation>
    <dataValidation type="list" allowBlank="1" showInputMessage="1" showErrorMessage="1" promptTitle="Anzahl Könige" prompt="Bitte wähle die Anzahl der eingesetzten Könige aus der Liste aus!" errorTitle="So viele?!?" error="Mehr als drei? Was für eine Armee! Bitte wähle aus der Liste aus!" sqref="B109">
      <formula1>$A$424:$A$427</formula1>
    </dataValidation>
    <dataValidation type="list" allowBlank="1" showInputMessage="1" showErrorMessage="1" promptTitle="Anzahl Runenmeister" prompt="Bitte wähle die Anzahl der eingesetzten Runenmeister aus der Liste aus!" errorTitle="So viele?!?" error="Mehr als drei? Was für eine Armee! Bitte wähle aus der Liste aus!" sqref="B118">
      <formula1>$A$424:$A$427</formula1>
    </dataValidation>
    <dataValidation type="list" allowBlank="1" showInputMessage="1" showErrorMessage="1" promptTitle="Braumeister Josef Bugman" prompt="Bitte wähle, ob Braumeister Josef Bugman mit seinen Grenzläufer-Langbärten an der Schlacht teilnimmt. Wenn ja, wähle 1 aus der Liste aus, ansonsten -!" errorTitle="Das geht nicht!" error="Entweder nimmt Josef Bugman an der Schlacht teil oder nicht!" sqref="B146">
      <formula1>$J$430:$J$431</formula1>
    </dataValidation>
    <dataValidation type="list" allowBlank="1" showInputMessage="1" showErrorMessage="1" promptTitle="Anzahl Drachenslayer" prompt="Bitte wähle die Anzahl der eingesetzten Drachenslayer aus der Liste aus!" errorTitle="So viele?!?" error="Mehr als drei? Was für eine Armee! Bitte wähle aus der Liste aus!" sqref="B202">
      <formula1>$A$424:$A$427</formula1>
    </dataValidation>
    <dataValidation type="list" allowBlank="1" showInputMessage="1" showErrorMessage="1" promptTitle="Anzahl Runenschmiede" prompt="Bitte wähle die Anzahl der eingesetzten Runenschmiede aus der Liste aus!" errorTitle="So viele?!?" error="Mehr als drei? Was für eine Armee! Bitte wähle aus der Liste aus!" sqref="B183">
      <formula1>$A$424:$A$427</formula1>
    </dataValidation>
    <dataValidation type="list" allowBlank="1" showInputMessage="1" showErrorMessage="1" promptTitle="Anzahl Thaine" prompt="Bitte wähle die Anzahl der eingesetzten Thaine aus der Liste aus!" errorTitle="So viele?!?" error="Mehr als drei? Was für eine Armee! Bitte wähle aus der Liste aus!" sqref="B172">
      <formula1>$A$424:$A$427</formula1>
    </dataValidation>
    <dataValidation type="list" allowBlank="1" showInputMessage="1" showErrorMessage="1" promptTitle="Anzahl Meistermaschinisten" prompt="Bitte wähle die Anzahl der eingesetzten Meistermaschinisten aus der Liste aus!" errorTitle="So viele?!?" error="Mehr als drei? Was für eine Armee! Bitte wähle aus der Liste aus!" sqref="B189">
      <formula1>$A$424:$A$427</formula1>
    </dataValidation>
    <dataValidation type="list" allowBlank="1" showInputMessage="1" showErrorMessage="1" promptTitle="Anzahl der Klankrieger" prompt="Bitte wähle die Anzahl aller Klankrieger in allen Einheiten dieser Truppengattung aus!" errorTitle="Da stimmt was nicht!" error="Bitte wähle die Truppenstärke aus der Liste aus!" sqref="B214">
      <formula1>$A$438:$A$480</formula1>
    </dataValidation>
    <dataValidation type="list" allowBlank="1" showInputMessage="1" showErrorMessage="1" promptTitle="Anzahl der Langbärte" prompt="Bitte wähle die Anzahl aller Langbärte in allen Einheiten dieser Truppengattung aus!" errorTitle="Da stimmt was nicht!" error="Bitte wähle die Truppenstärke aus der Liste aus!" sqref="B218">
      <formula1>$A$438:$A$480</formula1>
    </dataValidation>
    <dataValidation type="list" allowBlank="1" showInputMessage="1" showErrorMessage="1" promptTitle="Anzahl der Armbrustschützen" prompt="Bitte wähle die Anzahl aller Armbrustschützen in allen Einheiten dieser Truppengattung aus!" errorTitle="Da stimmt was nicht!" error="Bitte wähle die Truppenstärke aus der Liste aus!" sqref="B223">
      <formula1>$A$438:$A$480</formula1>
    </dataValidation>
    <dataValidation type="list" allowBlank="1" showInputMessage="1" showErrorMessage="1" promptTitle="Anzahl der Musketenschützen" prompt="Bitte wähle die Anzahl aller Musketenschützen in allen Einheiten dieser Truppengattung aus!" errorTitle="Da stimmt was nicht!" error="Bitte wähle die Truppenstärke aus der Liste aus!" sqref="B228">
      <formula1>$A$438:$A$480</formula1>
    </dataValidation>
    <dataValidation type="list" allowBlank="1" showInputMessage="1" showErrorMessage="1" promptTitle="Anzahl der Grenzläufer" prompt="Bitte wähle die Anzahl aller Grenzläufer in allen Einheiten dieser Truppengattung aus!" errorTitle="Da stimmt was nicht!" error="Bitte wähle die Truppenstärke aus der Liste aus!" sqref="B303">
      <formula1>$A$485:$A$532</formula1>
    </dataValidation>
    <dataValidation type="list" allowBlank="1" showInputMessage="1" showErrorMessage="1" promptTitle="Anzahl der Silberbärte" prompt="Bitte wähle die Anzahl aller bei den Langbärten eingesetzten Silberbärte aus der Liste aus!" errorTitle="So viele?!?" error="Mehr als drei? Was für eine Armee! Bitte wähle aus der Liste aus!" sqref="B219">
      <formula1>$A$424:$A$427</formula1>
    </dataValidation>
    <dataValidation type="list" allowBlank="1" showInputMessage="1" showErrorMessage="1" promptTitle="Anzahl der Veteranen" prompt="Bitte wähle die Anzahl aller bei den Armbrustschützen eingesetzten Veteranen aus der Liste aus!" errorTitle="So viele?!?" error="Mehr als drei? Was für eine Armee! Bitte wähle aus der Liste aus!" sqref="B224">
      <formula1>$A$424:$A$427</formula1>
    </dataValidation>
    <dataValidation type="list" allowBlank="1" showInputMessage="1" showErrorMessage="1" promptTitle="Anzahl der Veteranen" prompt="Bitte wähle die Anzahl aller bei den Klankriegern eingesetzten Veteranen aus der Liste aus!" errorTitle="So viele?!?" error="Mehr als drei? Was für eine Armee! Bitte wähle aus der Liste aus!" sqref="B215">
      <formula1>$A$424:$A$427</formula1>
    </dataValidation>
    <dataValidation type="list" allowBlank="1" showInputMessage="1" showErrorMessage="1" promptTitle="Anzahl der Veteranen" prompt="Bitte wähle die Anzahl aller bei den Musketenschützen eingesetzten Veteranen aus der Liste aus!" errorTitle="So viele?!?" error="Mehr als drei? Was für eine Armee! Bitte wähle aus der Liste aus!" sqref="B229">
      <formula1>$A$424:$A$427</formula1>
    </dataValidation>
    <dataValidation type="list" allowBlank="1" showInputMessage="1" showErrorMessage="1" promptTitle="Anzahl der Alten Späher" prompt="Bitte wähle die Anzahl aller bei den Grenzläufern eingesetzten Alten Späher aus der Liste aus!" errorTitle="So viele?!?" error="Mehr als drei? Was für eine Armee! Bitte wähle aus der Liste aus!" sqref="B304">
      <formula1>$A$424:$A$427</formula1>
    </dataValidation>
    <dataValidation type="list" allowBlank="1" showInputMessage="1" showErrorMessage="1" promptTitle="Anzahl der Slayer" prompt="Bitte wähle die Anzahl aller Slayer in allen Einheiten dieser Truppengattung aus!" errorTitle="Da stimmt was nicht" error="Bitte wähle die Truppenstärke aus der Liste aus!" sqref="B263">
      <formula1>$A$485:$A$532</formula1>
    </dataValidation>
    <dataValidation type="list" allowBlank="1" showInputMessage="1" showErrorMessage="1" promptTitle="Anzahl der Eisenbärte" prompt="Bitte wähle die Anzahl aller bei den Eisenbrechern eingesetzten Eisenbärte aus der Liste aus!" errorTitle="So viele?!?" error="Mehr als drei? Was für eine Armee! Bitte wähle aus der Liste aus!" sqref="B254">
      <formula1>$A$424:$A$427</formula1>
    </dataValidation>
    <dataValidation type="list" allowBlank="1" showInputMessage="1" showErrorMessage="1" promptTitle="Anzahl der Bergwerker" prompt="Bitte wähle die Anzahl aller Bergwerker in allen Einheiten dieser Truppengattung aus!" errorTitle="Da stimmt was nicht" error="Bitte wähle die Truppenstärke aus der Liste aus!" sqref="B244">
      <formula1>$A$438:$A$480</formula1>
    </dataValidation>
    <dataValidation type="list" allowBlank="1" showInputMessage="1" showErrorMessage="1" promptTitle="Anzahl der Prospektoren" prompt="Bitte wähle die Anzahl aller bei den Berkwerkern eingesetzten Prospektoren aus der Liste aus!" errorTitle="So viele?!?" error="Mehr als drei? Was für eine Armee! Bitte wähle aus der Liste aus!" sqref="B245">
      <formula1>$A$424:$A$427</formula1>
    </dataValidation>
    <dataValidation type="list" allowBlank="1" showInputMessage="1" showErrorMessage="1" promptTitle="Anzahl der Hüter der Tores" prompt="Bitte wähle die Anzahl aller bei den Hammerträger eingesetzten Hüter der Tores aus der Liste aus!" errorTitle="So viele?!?" error="Mehr als drei? Was für eine Armee! Bitte wähle aus der Liste aus!" sqref="B240">
      <formula1>$A$424:$A$427</formula1>
    </dataValidation>
    <dataValidation type="list" allowBlank="1" showInputMessage="1" showErrorMessage="1" promptTitle="Anzahl der Eisenbrecher" prompt="Bitte wähle die Anzahl aller Eisenbrecher in allen Einheiten dieser Truppengattung aus!" errorTitle="Da stimmt was nicht" error="Bitte wähle die Truppenstärke aus der Liste aus!" sqref="B253">
      <formula1>$A$438:$A$480</formula1>
    </dataValidation>
    <dataValidation type="list" allowBlank="1" showInputMessage="1" showErrorMessage="1" promptTitle="Anzahl der Hammerträger" prompt="Bitte wähle die Anzahl aller Hammerträger in allen Einheiten dieser Truppengattung aus!" errorTitle="Da stimmt was nicht" error="Bitte wähle die Truppenstärke aus der Liste aus!" sqref="B239">
      <formula1>$A$438:$A$480</formula1>
    </dataValidation>
    <dataValidation type="list" allowBlank="1" showInputMessage="1" showErrorMessage="1" promptTitle="Anzahl der Riesenslayer" prompt="Bitte wähle die Anzahl der eingesetzten Riesenslayer aus der Liste aus, deren Anzahl beliebig bis zur Gesamtstärke aller eingesetzten Slayer sein kann." errorTitle="So viele?!?" error="Kommst Du da denn noch mit den Einheitenpunkten hin? Bitte wähle die Anzahl der Riesenslayer aus der Liste aus!" sqref="B264">
      <formula1>$K$447:$K$472</formula1>
    </dataValidation>
    <dataValidation type="list" allowBlank="1" showInputMessage="1" showErrorMessage="1" promptTitle="Anzahl der Kanonen" prompt="Bitte wähle die Anzahl aller eingesetzten Kanonen dieser Truppengattung aus der Liste aus!" errorTitle="So viele?!?" error="Mehr als drei? Was für eine Armee! Bitte wähle aus der Liste aus!" sqref="B284">
      <formula1>$A$424:$A$427</formula1>
    </dataValidation>
    <dataValidation type="list" allowBlank="1" showInputMessage="1" showErrorMessage="1" promptTitle="Anzahl der Grollschleudern" prompt="Bitte wähle die Anzahl aller eingesetzten Grollschleudern dieser Truppengattung aus der Liste aus!" errorTitle="So viele?!?" error="Mehr als drei? Was für eine Armee! Bitte wähle aus der Liste aus!" sqref="B294">
      <formula1>$A$424:$A$427</formula1>
    </dataValidation>
    <dataValidation type="list" allowBlank="1" showInputMessage="1" showErrorMessage="1" promptTitle="Anzahl der Orgelkanonen" prompt="Bitte wähle die Anzahl aller eingesetzten Orgelkanonen dieser Truppengattung aus der Liste aus!" errorTitle="So viele?!?" error="Mehr als drei? Was für eine Armee! Bitte wähle aus der Liste aus!" sqref="B364">
      <formula1>$A$424:$A$427</formula1>
    </dataValidation>
    <dataValidation type="list" allowBlank="1" showInputMessage="1" showErrorMessage="1" promptTitle="Anzahl der Flammenkanonen" prompt="Bitte wähle die Anzahl aller eingesetzten Flammenkanonen dieser Truppengattung aus der Liste aus!" errorTitle="So viele?!?" error="Mehr als drei? Was für eine Armee! Bitte wähle aus der Liste aus!" sqref="B370">
      <formula1>$A$424:$A$427</formula1>
    </dataValidation>
    <dataValidation type="list" allowBlank="1" showInputMessage="1" showErrorMessage="1" sqref="W346">
      <formula1>$G$175:$G$181</formula1>
    </dataValidation>
    <dataValidation type="list" allowBlank="1" showInputMessage="1" showErrorMessage="1" promptTitle="Long Drong und die Wasserratten" prompt="Wenn Long Drong und seine Piratenslayer als legendäres Söldnerregiment an der Schlacht teilnehmen, wähle bitte die Anzahl der eingesetzten Piratenslayer aus der Liste aus!" errorTitle="Mannoman!" error="Soviele hast Du nicht! Wähle bitte die Anzahl der Piraten aus der Liste aus!" sqref="B346">
      <formula1>$G$447:$G$468</formula1>
    </dataValidation>
    <dataValidation type="list" allowBlank="1" showInputMessage="1" showErrorMessage="1" promptTitle="Garagrim Eisenfaust" prompt="Bitte wähle, ob Garagrim Eisenfaust als Baraz-Rik von Karak Kadrin und / oder als Armeegeneral an der Schlacht teilnimmt. Wenn ja, wähle 1 aus der Liste aus, ansonsten -!" errorTitle="Das geht nicht!" error="Entweder nimmt Garagrim Eisenfaust an der Schlacht teil oder nicht!" sqref="B83">
      <formula1>$J$430:$J$431</formula1>
    </dataValidation>
    <dataValidation type="list" allowBlank="1" showInputMessage="1" showErrorMessage="1" promptTitle="Burlock Damison" prompt="Bitte wähle, ob Meistermaschinist Burlock Damison an der Schlacht teilnimmt. Wenn ja, wähle 1 aus der Liste aus, ansonsten -!" errorTitle="Das geht nicht!" error="Entweder nimmt Burlock Damison an der Schlacht teil oder nicht!" sqref="B91">
      <formula1>$J$430:$J$431</formula1>
    </dataValidation>
    <dataValidation type="list" allowBlank="1" showInputMessage="1" showErrorMessage="1" promptTitle="Runenmeister Kragg der Grimmige" prompt="Bitte wähle, ob Runenmeister Kragg der Grimmige aus Karaz-a-Karak an der Schlacht teilnimmt. Wenn ja, wähle 1 aus der Liste aus, ansonsten -!" errorTitle="Das geht nicht!" error="Entweder nimmt Kragg der Grimmige an der Schlacht teil oder nicht!" sqref="B98">
      <formula1>$J$430:$J$431</formula1>
    </dataValidation>
    <dataValidation type="list" allowBlank="1" showInputMessage="1" showErrorMessage="1" promptTitle="König Ungrim Eisenfaust" prompt="Bitte wähle, ob Ungrim Eisenfaust als Slayer-König von Karak Kadrin und als Armeegeneral sein Heer anführt. Wenn ja, wähle 1 aus der Liste aus, ansonsten -!" errorTitle="Das geht nicht!" error="Entweder nimmt Ungrim Eisenfaust an der Schlacht teil oder nicht!" sqref="B24">
      <formula1>$J$430:$J$431</formula1>
    </dataValidation>
    <dataValidation type="list" allowBlank="1" showInputMessage="1" showErrorMessage="1" promptTitle="König Kazador" prompt="Bitte wähle, ob König Kazador als König von Karak Azul an der Schlacht teilnimmt. Wenn ja, wähle 1 aus der Liste aus, ansonsten -!" errorTitle="Das geht nicht!" error="Entweder nimmt König Kazador an der Schlacht teil oder nicht!" sqref="B78">
      <formula1>$J$430:$J$431</formula1>
    </dataValidation>
    <dataValidation type="list" allowBlank="1" showInputMessage="1" showErrorMessage="1" promptTitle="Runenmeister Thorek Eisenstirn" prompt="Bitte wähle, ob Thorek Eisenstirn als Meister der Waffenschmiede aus Karak Azul mit seinem Runenamboß an der Schlacht teilnimmt. Wenn ja, wähle 1 aus der Liste aus, ansonsten -!" errorTitle="Das geht nicht!" error="Entweder nimmt Thorek Eisenstirn an der Schlacht teil oder nicht!" sqref="B45">
      <formula1>$J$430:$J$431</formula1>
    </dataValidation>
    <dataValidation type="list" allowBlank="1" showInputMessage="1" showErrorMessage="1" promptTitle="Hochkönig Thogrim Grollbart" prompt="Bitte wähle, ob Hochkönig Thogrim Grollbart als König von Karaz-a-Karak an der Schlacht teilnimmt. Wenn ja, wähle 1 aus der Liste aus, ansonsten -!" errorTitle="Das geht nicht!" error="Entweder nimmt Thogrim Grollbart an der Schlacht teil oder nicht!" sqref="B12">
      <formula1>$J$430:$J$431</formula1>
    </dataValidation>
    <dataValidation type="list" allowBlank="1" showInputMessage="1" showErrorMessage="1" promptTitle="König Alrik Ranulfsson" prompt="Bitte wähle, ob Alrik Ranulfsson als König von Karak Ghirn und als Armeegeneral sein Heer anführt. Wenn ja, wähle 1 aus der Liste aus, ansonsten -!" errorTitle="Das geht nicht!" error="Entweder nimmt Alrik Ranulfsson an der Schlacht teil oder nicht!" sqref="B69">
      <formula1>$J$430:$J$431</formula1>
    </dataValidation>
    <dataValidation type="list" allowBlank="1" showInputMessage="1" showErrorMessage="1" promptTitle="König Belegar Eisenhammer" prompt="Bitte wähle, ob König Belegar Eisenhammer von Karak Achtgipfel an der Schlacht teilnimmt und als Armeegeneral sein Heer anführt. Wenn ja, wähle 1 aus der Liste aus, ansonsten -!" errorTitle="Das geht nicht!" error="Entweder nimmt Ungrim Eisenfaust an der Schlacht teil oder nicht!" sqref="B37">
      <formula1>$J$430:$J$431</formula1>
    </dataValidation>
    <dataValidation type="list" allowBlank="1" showInputMessage="1" showErrorMessage="1" promptTitle="Anzahl der Gyrokopter" prompt="Bitte wähle die Anzahl aller eingesetzten Gyrokopter dieser Truppengattung aus der Liste aus!" errorTitle="So viele?!?" error="Mehr als drei? Was für eine Armee! Bitte wähle aus der Liste aus!" sqref="B271">
      <formula1>$K$447:$K$457</formula1>
    </dataValidation>
    <dataValidation type="list" allowBlank="1" showInputMessage="1" showErrorMessage="1" promptTitle="Anzahl der Eisendrachen" prompt="Bitte wähle die Anzahl aller Eisendrachen in allen Einheiten dieser Truppengattung aus!" errorTitle="Da stimmt was nicht" error="Bitte wähle die Truppenstärke aus der Liste aus!" sqref="B319">
      <formula1>$A$438:$A$480</formula1>
    </dataValidation>
    <dataValidation type="list" allowBlank="1" showInputMessage="1" showErrorMessage="1" promptTitle="Anzahl der Eisenwächter" prompt="Bitte wähle die Anzahl aller bei den Eisendrachen eingesetzten Eisenwächter aus der Liste aus!" errorTitle="So viele?!?" error="Mehr als drei? Was für eine Armee! Bitte wähle aus der Liste aus!" sqref="B320">
      <formula1>$A$424:$A$427</formula1>
    </dataValidation>
    <dataValidation type="list" allowBlank="1" showInputMessage="1" showErrorMessage="1" promptTitle="Bomben Eisenwächter/Eisenbart" prompt="Der Eisenwächter bzw. Eisenbart kann zusätzlich Zwergengranaten erhalten (15P). Wähle aus der Liste aus" errorTitle="Unwürdiger Grobi!" error="Du willst gegen die Feinde des Immerwährenden Reiches kämpfen? Wähle aus der Liste aus!" sqref="X328 X258">
      <formula1>$X$430:$X$431</formula1>
    </dataValidation>
    <dataValidation type="list" allowBlank="1" showInputMessage="1" showErrorMessage="1" promptTitle="Waffentausch Eisenwächter" prompt="Der Eisenwächter kann seine Drachenmuskete gegen ein Paar Drachenpistolen (0 P) oder gegen einen Trollhammer-Torpedo tauschen (20P). Wähle aus der Liste aus" errorTitle="Unwürdiger Grobi!" error="Du willst gegen die Feinde des Immerwährenden Reiches kämpfen? Wähle aus der Liste aus!" sqref="X325">
      <formula1>$X$432:$X$434</formula1>
    </dataValidation>
    <dataValidation type="list" allowBlank="1" showInputMessage="1" showErrorMessage="1" promptTitle="Waffentausch Gyrokopter" prompt="Der Gyrokopter kann seine Dampfkanone gegen eine Schwefelkanone (0 P) tauschen. Wähle aus der Liste aus" errorTitle="Unwürdiger Grobi!" error="Du willst gegen die Feinde des Immerwährenden Reiches kämpfen? Wähle aus der Liste aus!" sqref="X276">
      <formula1>$X$442:$X$443</formula1>
    </dataValidation>
    <dataValidation type="list" allowBlank="1" showInputMessage="1" showErrorMessage="1" promptTitle="Vorhut Gyrokopter" prompt="Die aufgerundete Hälfte aller Gyrokopter kann die Sonderregel Vorhut erhalten (20 P). Wähle aus der Liste aus." errorTitle="Unwürdiger Grobi!" error="Du willst gegen die Feinde des Immerwährenden Reiches kämpfen? Wähle aus der Liste aus!" sqref="X278">
      <formula1>$X$444:$X$445</formula1>
    </dataValidation>
    <dataValidation type="list" allowBlank="1" showInputMessage="1" showErrorMessage="1" promptTitle="Maschinenrunen" prompt="Diese Kriegsmaschine darf aus dem Katalog der Maschinenrunen (Armeebuch Zwerge S.65) im Wert von 50 Punkten erhalten. Die Geschosse gelten dann als magisch. Wähle aus der Liste aus." errorTitle="Kann nicht sein!" error="Den ausgewählte Runenwert gibt es nicht! Verwende die Liste!" sqref="V364 V370">
      <formula1>$Q$452:$Q$462</formula1>
    </dataValidation>
    <dataValidation type="list" allowBlank="1" showInputMessage="1" showErrorMessage="1" promptTitle="Waffentausch Veteran" prompt="Der Veteran der Musketenschützen kann seine Zwergenmuskete gegen ein Paar Zwergenpistolen (0 P) tauschen Wähle aus der Liste aus" errorTitle="Unwürdiger Grobi!" error="Du willst gegen die Feinde des Immerwährenden Reiches kämpfen? Wähle aus der Liste aus!" sqref="X231">
      <formula1>"Keine andere Waffe,Zwergenpistolenpaar: 12"", S=4, rüstungsbr, schnell"</formula1>
    </dataValidation>
    <dataValidation type="list" allowBlank="1" showInputMessage="1" showErrorMessage="1" promptTitle="Standartenrune" prompt="Wähle eine Standartenrune aus dem Katalog der Runen von max. 75 Punkten aus (Armeebuch Zwerge S.63)" errorTitle="Kann nicht sein!" error="Den ausgewählte Runenwert gibt es nicht! Verwende die Liste!" sqref="V239">
      <formula1>$Q$452:$Q$467</formula1>
    </dataValidation>
    <dataValidation type="list" allowBlank="1" showInputMessage="1" showErrorMessage="1" promptTitle="Waffenrunen" prompt="Der Hüter des Tores kann eine Runewaffe aus dem Katalog der Runen von max. 25 Punkten erhalten (Armeebuch Zwerge S.60f)" errorTitle="Kann nicht sein!" error="Den ausgewählte Runenwert gibt es nicht! Verwende die Liste!" sqref="V240">
      <formula1>$Q$452:$Q$457</formula1>
    </dataValidation>
    <dataValidation type="list" allowBlank="1" showInputMessage="1" showErrorMessage="1" promptTitle="Waffenrunen" prompt="Jeder Riesenslayer kann eine Runewaffe aus dem Katalog der Runen von max. 25 Punkten erhalten (Armeebuch Zwerge S.60f)" errorTitle="Kann nicht sein!" error="Den ausgewählte Runenwert gibt es nicht! Verwende die Liste!" sqref="V264">
      <formula1>$Q$452:$Q$457</formula1>
    </dataValidation>
    <dataValidation type="list" allowBlank="1" showInputMessage="1" showErrorMessage="1" promptTitle="Waffentausch Prospektor" prompt="Der Prospektor kann seine Zweihandwaffe gegen einen Dampfhammer tauschen (25 P) tauschen Wähle aus der Liste aus." errorTitle="Unwürdiger Grobi!" error="Du willst gegen die Feinde des Immerwährenden Reiches kämpfen? Wähle aus der Liste aus!" sqref="X247">
      <formula1>"Keine andere Waffe,Dampfhammer: S=+3, ASL, zweihändig, Wurf Überfall"</formula1>
    </dataValidation>
    <dataValidation type="list" allowBlank="1" showInputMessage="1" showErrorMessage="1" promptTitle="Sprengladungen" prompt="Die ganze Einheit kann zusätzlich Sprengladungen erhalten (2 P pro Modell). Wähle aus der Liste aus." errorTitle="Unwürdiger Grobi!" error="Du willst gegen die Feinde des Immerwährenden Reiches kämpfen? Wähle aus der Liste aus!" sqref="X249">
      <formula1>"Keine andere Waffe,Sprengladungen: 4"", S=4, rüstungsbr. Flammenatt."</formula1>
    </dataValidation>
    <dataValidation type="list" allowBlank="1" showInputMessage="1" showErrorMessage="1" promptTitle="Waffentausch Eisenwächter" prompt="Der Eisenwächter kann seine Drachenmuskete gegen ein Paar Drachenpistolen (0 P) oder gegen einen Trollhammer-Torpedo tauschen (20P). Wähle aus der Liste aus" errorTitle="Unwürdiger Grobi!" error="Du willst gegen die Feinde des Immerwährenden Reiches kämpfen? Wähle aus der Liste aus!" sqref="X255">
      <formula1>$X$432:$X$433</formula1>
    </dataValidation>
    <dataValidation type="list" allowBlank="1" showInputMessage="1" showErrorMessage="1" promptTitle="Bugmans Kumpane" prompt="Bitte wähle aus, wieviele Bugmans Kumpane an der Schlacht teilnehmen!" errorTitle="Da stimmt was nicht!" error="Bitte wähle die Truppenstärke aus der Liste aus!" sqref="B311">
      <formula1>$A$485:$A$532</formula1>
    </dataValidation>
    <dataValidation type="list" allowBlank="1" showInputMessage="1" showErrorMessage="1" promptTitle="Anzahl der Alten Späher" prompt="Bitte wähle die Anzahl aller bei Bugmans Kumpanen eingesetzten Alten Späher aus der Liste aus!" errorTitle="So viele?!?" error="Mehr als drei? Was für eine Armee! Bitte wähle aus der Liste aus!" sqref="B312">
      <formula1>$A$424:$A$427</formula1>
    </dataValidation>
    <dataValidation type="list" allowBlank="1" showInputMessage="1" showErrorMessage="1" promptTitle="Grimm Burloksson" prompt="Bitte wähle, ob Meistermaschinist Grimm Burloksson an der Schlacht teilnimmt. Wenn ja, wähle 1 aus der Liste aus, ansonsten -!" errorTitle="Das geht nicht!" error="Entweder nimmt Josef Bugman an der Schlacht teil oder nicht!" sqref="B156">
      <formula1>$J$430:$J$431</formula1>
    </dataValidation>
    <dataValidation type="list" allowBlank="1" showInputMessage="1" showErrorMessage="1" promptTitle="Armeestandarte" prompt="Bitte wähle eine 1 aus der Liste aus, wenn dieses Charaktermodell die Armeestandarte trägt!" errorTitle="So viele?!?" error="Mehr als drei? Was für eine Armee! Bitte wähle aus der Liste aus!" sqref="B173">
      <formula1>$A$424:$A$425</formula1>
    </dataValidation>
    <dataValidation type="list" allowBlank="1" showInputMessage="1" showErrorMessage="1" promptTitle="Standartenrunen" prompt="Die Armeestandarte kann mit Standartenrunen ohne Punktbegrenzung (Armeebuch S. 63). Dieser Charakter kann dann jedoch keine anderen Runengegenstände oder Ahnenerbstücke erhalten. Wähle einen Wert aus der Liste aus!" errorTitle="Kann nicht sein!" error="Den ausgewählte Runenwert gibt es nicht! Verwende die Liste!" sqref="V173">
      <formula1>$Q$452:$Q$482</formula1>
    </dataValidation>
    <dataValidation type="list" allowBlank="1" showInputMessage="1" showErrorMessage="1" promptTitle="Runenauswahl" prompt="Dieser Slayer Charakter kann sich mit Waffenrunen im Wert von bis zu 75 Punkten ausrüsten (Armeebuch Zwerge S. 58ff). Wähle einen entsprechenden Wert aus der Liste aus!" errorTitle="Du willst die Dawi führen?" error="Den ausgewählten Runenwert gibt es nicht! Verwende die Liste!" sqref="V202">
      <formula1>$Q$452:$Q$467</formula1>
    </dataValidation>
    <dataValidation type="list" allowBlank="1" showInputMessage="1" showErrorMessage="1" promptTitle="Runenauswahl" prompt="Dieser Charakter kann sich mit Waffen- Rüstungs oder Talismanrunen und/oder Ahnenerbstücken im Wert von bis zu 125 Punkten ausrüsten (Armeebuch Zwerge S. 58ff). Wähle einen entsprechenden Wert aus der Liste aus!" errorTitle="Du willst die Dawi führen?" error="Den ausgewählten Runenwert gibt es nicht! Verwende die Liste!" sqref="V109">
      <formula1>$Q$452:$Q$477</formula1>
    </dataValidation>
    <dataValidation type="list" allowBlank="1" showInputMessage="1" showErrorMessage="1" promptTitle="Runenauswahl" prompt="Dieser Charakter kann sich mit Waffen- Rüstungs oder Talismanrunen und/oder Ahnenerbstücken im Wert von bis zu 150 Punkten ausrüsten (Armeebuch Zwerge S. 58ff). Wähle einen entsprechenden Wert aus der Liste aus!" errorTitle="Du willst die Dawi führen?" error="Den ausgewählten Runenwert gibt es nicht! Verwende die Liste!" sqref="V118">
      <formula1>$Q$452:$Q$482</formula1>
    </dataValidation>
    <dataValidation type="list" allowBlank="1" showInputMessage="1" showErrorMessage="1" promptTitle="Runenauswahl" prompt="Dieser Slayer Charakter kann sich mit Waffenrunen im Wert von bis zu 100 Punkten ausrüsten (Armeebuch Zwerge S. 58ff). Wähle einen entsprechenden Wert aus der Liste aus!" errorTitle="Du willst die Dawi führen?" error="Den ausgewählten Runenwert gibt es nicht! Verwende die Liste!" sqref="V134">
      <formula1>$Q$452:$Q$472</formula1>
    </dataValidation>
    <dataValidation type="list" allowBlank="1" showInputMessage="1" showErrorMessage="1" promptTitle="Klanzeichen Thain" prompt="Der Thain kann mit dem Eidstein seines Klans (25 P) in die Schlacht ziehen. Wähle aus der Liste aus." errorTitle="Unwürdiger Grobi!" error="Du willst gegen die Feinde des Immerwährenden Reiches kämpfen? Wähle aus der Liste aus!" sqref="X179">
      <formula1>$X$469:$X$470</formula1>
    </dataValidation>
    <dataValidation type="list" allowBlank="1" showInputMessage="1" showErrorMessage="1" promptTitle="Waffen Thain" prompt="Der Thain kann zusätzlich eine Zwergenarmbrust (12 P) oder eine Zwergenmuskete (12 P) erhalten. Wähle aus der Liste aus." errorTitle="Unwürdiger Grobi!" error="Du willst gegen die Feinde des Immerwährenden Reiches kämpfen? Wähle aus der Liste aus!" sqref="X175">
      <formula1>"Keine weitere Waffe,Zwergenarmbrust: 30"", S=4, Bewegen oder Schießen,,Zwergenmuskete: 24"", S=4, Bewegen oder Schießen,"</formula1>
    </dataValidation>
    <dataValidation type="list" allowBlank="1" showInputMessage="1" showErrorMessage="1" promptTitle="Waffen Thain" prompt="Der Thain kann zusätzlich eine Zwergenpistole (6 P) erhalten. Wähle aus der Liste aus." errorTitle="Unwürdiger Grobi!" error="Du willst gegen die Feinde des Immerwährenden Reiches kämpfen? Wähle aus der Liste aus!" sqref="X177">
      <formula1>"Keine weitere Waffe,Zwergenpistole 12"", S=4, rüstungsbr, schnell"</formula1>
    </dataValidation>
    <dataValidation type="list" allowBlank="1" showInputMessage="1" showErrorMessage="1" promptTitle="Klanzeichen König" prompt="Der König kann mit dem Eidstein seines Klans (25 P) oder auf Schildträgern (40 P) in die Schlacht ziehen. Wähle aus der Liste aus." errorTitle="Unwürdiger Grobi!" error="Du willst gegen die Feinde des Immerwährenden Reiches kämpfen? Wähle aus der Liste aus!" sqref="X114">
      <formula1>$X$469:$X$471</formula1>
    </dataValidation>
    <dataValidation type="list" allowBlank="1" showInputMessage="1" showErrorMessage="1" promptTitle="Waffen König" prompt="Der König kann zusätzlich eine Zwergenarmbrust (12 P) oder eine Zwergenmuskete (12 P) erhalten. Wähle aus der Liste aus." errorTitle="Unwürdiger Grobi!" error="Du willst gegen die Feinde des Immerwährenden Reiches kämpfen? Wähle aus der Liste aus!" sqref="X110">
      <formula1>"Keine weitere Waffe,Zwergenarmbrust: 30"", S=4, Bewegen oder Schießen,,Zwergenmuskete: 24"", S=4, Bewegen oder Schießen,"</formula1>
    </dataValidation>
    <dataValidation type="list" allowBlank="1" showInputMessage="1" showErrorMessage="1" promptTitle="Waffen König" prompt="Der König kann zusätzlich eine Zwergenpistole (6 P) erhalten. Wähle aus der Liste aus." errorTitle="Unwürdiger Grobi!" error="Du willst gegen die Feinde des Immerwährenden Reiches kämpfen? Wähle aus der Liste aus!" sqref="X112">
      <formula1>"Keine weitere Waffe,Zwergenpistole 12"", S=4, rüstungsbr, schnell"</formula1>
    </dataValidation>
    <dataValidation type="list" allowBlank="1" showInputMessage="1" showErrorMessage="1" promptTitle="Waffen Meistermaschinist" prompt="Der Meistermaschinist kann zusätzlich eine Zwergenmuskete (12 P) erhalten. Wähle aus der Liste aus." errorTitle="Unwürdiger Grobi!" error="Du willst gegen die Feinde des Immerwährenden Reiches kämpfen? Wähle aus der Liste aus!" sqref="X195">
      <formula1>"Keine weitere Waffe,Zwergenmuskete: 24"", S=4, Bewegen oder Schießen,"</formula1>
    </dataValidation>
    <dataValidation type="list" allowBlank="1" showInputMessage="1" showErrorMessage="1" promptTitle="Waffen Meistermaschinist" prompt="Der Meistermaschinist kann zusätzlich eine Zwergenpistole (6 P) oder ein Zwergenpsitolenpaar (10 P) erhalten. Wähle aus der Liste aus." errorTitle="Unwürdiger Grobi!" error="Du willst gegen die Feinde des Immerwährenden Reiches kämpfen? Wähle aus der Liste aus!" sqref="X197">
      <formula1>"Keine weitere Waffe,Zwergenpistole 12"", S=4, rüstungsbr, schnell,Zwergenpistolenpaar: 12"", S=4, rüstungsbr, schnell"</formula1>
    </dataValidation>
  </dataValidations>
  <printOptions/>
  <pageMargins left="0" right="0" top="0" bottom="0"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Hans Hess Autoteile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Wilsdorf</dc:creator>
  <cp:keywords/>
  <dc:description/>
  <cp:lastModifiedBy>Josef Müller</cp:lastModifiedBy>
  <cp:lastPrinted>2005-12-14T12:25:16Z</cp:lastPrinted>
  <dcterms:created xsi:type="dcterms:W3CDTF">2005-07-06T06:26:40Z</dcterms:created>
  <dcterms:modified xsi:type="dcterms:W3CDTF">2011-03-24T11:04:51Z</dcterms:modified>
  <cp:category/>
  <cp:version/>
  <cp:contentType/>
  <cp:contentStatus/>
</cp:coreProperties>
</file>